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CA307693-555B-479E-90DC-FDF002D51EB6}" xr6:coauthVersionLast="47" xr6:coauthVersionMax="47" xr10:uidLastSave="{00000000-0000-0000-0000-000000000000}"/>
  <bookViews>
    <workbookView xWindow="-120" yWindow="-120" windowWidth="20730" windowHeight="11160" xr2:uid="{00000000-000D-0000-FFFF-FFFF00000000}"/>
  </bookViews>
  <sheets>
    <sheet name="Contents" sheetId="4" r:id="rId1"/>
    <sheet name="Table58a" sheetId="1" r:id="rId2"/>
    <sheet name="Table58b" sheetId="2" r:id="rId3"/>
    <sheet name="Table58c"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9" i="1" l="1"/>
  <c r="C149" i="1"/>
  <c r="O149" i="1" l="1"/>
  <c r="M149" i="1"/>
  <c r="L149" i="1"/>
  <c r="K149" i="1"/>
  <c r="J149" i="1"/>
  <c r="I149" i="1"/>
  <c r="H149" i="1"/>
  <c r="G149" i="1"/>
  <c r="F149" i="1"/>
  <c r="E149" i="1"/>
  <c r="B149" i="1"/>
  <c r="N147" i="1"/>
  <c r="P147" i="1" s="1"/>
  <c r="N146" i="1"/>
  <c r="P146" i="1" s="1"/>
  <c r="N145" i="1"/>
  <c r="P145" i="1" s="1"/>
  <c r="N144" i="1"/>
  <c r="P144" i="1" s="1"/>
  <c r="C50" i="1"/>
  <c r="B50" i="1"/>
  <c r="B49" i="1"/>
  <c r="E22" i="1"/>
  <c r="F22" i="1"/>
  <c r="G22" i="1"/>
  <c r="H22" i="1"/>
  <c r="I22" i="1"/>
  <c r="J22" i="1"/>
  <c r="K22" i="1"/>
  <c r="L22" i="1"/>
  <c r="M22" i="1"/>
  <c r="N18" i="1"/>
  <c r="N137" i="1"/>
  <c r="N140" i="1"/>
  <c r="N139" i="1"/>
  <c r="N138" i="1"/>
  <c r="N149" i="1" l="1"/>
  <c r="P149" i="1" s="1"/>
  <c r="O142" i="1"/>
  <c r="M142" i="1"/>
  <c r="L142" i="1"/>
  <c r="K142" i="1"/>
  <c r="J142" i="1"/>
  <c r="I142" i="1"/>
  <c r="H142" i="1"/>
  <c r="G142" i="1"/>
  <c r="F142" i="1"/>
  <c r="E142" i="1"/>
  <c r="D142" i="1"/>
  <c r="C142" i="1"/>
  <c r="B142" i="1"/>
  <c r="P140" i="1"/>
  <c r="P139" i="1"/>
  <c r="P138" i="1"/>
  <c r="P137" i="1"/>
  <c r="N142" i="1" l="1"/>
  <c r="P142" i="1" s="1"/>
  <c r="M134" i="1"/>
  <c r="B134" i="1"/>
  <c r="L134" i="1"/>
  <c r="N130" i="1"/>
  <c r="N131" i="1"/>
  <c r="N132" i="1"/>
  <c r="K134" i="1"/>
  <c r="J134" i="1" l="1"/>
  <c r="P130" i="1"/>
  <c r="P131" i="1"/>
  <c r="P132" i="1"/>
  <c r="N129" i="1"/>
  <c r="I134" i="1"/>
  <c r="H134" i="1"/>
  <c r="G134" i="1"/>
  <c r="F134" i="1"/>
  <c r="E134" i="1"/>
  <c r="D134" i="1"/>
  <c r="C134" i="1"/>
  <c r="G8" i="3"/>
  <c r="E8" i="3"/>
  <c r="D8" i="3"/>
  <c r="C8" i="3"/>
  <c r="B8" i="3"/>
  <c r="F8" i="3" s="1"/>
  <c r="H8" i="3" s="1"/>
  <c r="F7" i="3"/>
  <c r="J7" i="3" s="1"/>
  <c r="F6" i="3"/>
  <c r="H6" i="3"/>
  <c r="F5" i="3"/>
  <c r="H5" i="3" s="1"/>
  <c r="F4" i="3"/>
  <c r="J4" i="3"/>
  <c r="E8" i="2"/>
  <c r="E7" i="2"/>
  <c r="B10" i="2"/>
  <c r="B11" i="2" s="1"/>
  <c r="E10" i="2"/>
  <c r="C9" i="2"/>
  <c r="E9" i="2" s="1"/>
  <c r="D9" i="2"/>
  <c r="D8" i="2"/>
  <c r="D7" i="2"/>
  <c r="O134" i="1"/>
  <c r="N123" i="1"/>
  <c r="P123" i="1" s="1"/>
  <c r="B126" i="1"/>
  <c r="M126" i="1"/>
  <c r="L126" i="1"/>
  <c r="K126" i="1"/>
  <c r="J126" i="1"/>
  <c r="I126" i="1"/>
  <c r="H126" i="1"/>
  <c r="G126" i="1"/>
  <c r="F126" i="1"/>
  <c r="E126" i="1"/>
  <c r="D126" i="1"/>
  <c r="C126" i="1"/>
  <c r="N124" i="1"/>
  <c r="P124" i="1" s="1"/>
  <c r="N122" i="1"/>
  <c r="P122" i="1"/>
  <c r="O126" i="1"/>
  <c r="N121" i="1"/>
  <c r="P121" i="1" s="1"/>
  <c r="M118" i="1"/>
  <c r="O114" i="1"/>
  <c r="O113" i="1"/>
  <c r="B118" i="1"/>
  <c r="N114" i="1"/>
  <c r="L118" i="1"/>
  <c r="K118" i="1"/>
  <c r="J118" i="1"/>
  <c r="I118" i="1"/>
  <c r="H118" i="1"/>
  <c r="G118" i="1"/>
  <c r="F118" i="1"/>
  <c r="E118" i="1"/>
  <c r="C118" i="1"/>
  <c r="N116" i="1"/>
  <c r="P116" i="1" s="1"/>
  <c r="P115" i="1"/>
  <c r="N113" i="1"/>
  <c r="B15" i="1"/>
  <c r="C15" i="1"/>
  <c r="D15" i="1"/>
  <c r="E15" i="1"/>
  <c r="F15" i="1"/>
  <c r="G15" i="1"/>
  <c r="H15" i="1"/>
  <c r="I15" i="1"/>
  <c r="B22" i="1"/>
  <c r="C22" i="1"/>
  <c r="D22" i="1"/>
  <c r="B30" i="1"/>
  <c r="C30" i="1"/>
  <c r="D30" i="1"/>
  <c r="E30" i="1"/>
  <c r="F30" i="1"/>
  <c r="G30" i="1"/>
  <c r="H30" i="1"/>
  <c r="I30" i="1"/>
  <c r="B38" i="1"/>
  <c r="C38" i="1"/>
  <c r="D38" i="1"/>
  <c r="E38" i="1"/>
  <c r="F38" i="1"/>
  <c r="G38" i="1"/>
  <c r="H38" i="1"/>
  <c r="I38" i="1"/>
  <c r="B46" i="1"/>
  <c r="C46" i="1"/>
  <c r="D46" i="1"/>
  <c r="E46" i="1"/>
  <c r="F46" i="1"/>
  <c r="G46" i="1"/>
  <c r="H46" i="1"/>
  <c r="I46" i="1"/>
  <c r="B54" i="1"/>
  <c r="C54" i="1"/>
  <c r="D54" i="1"/>
  <c r="E54" i="1"/>
  <c r="F54" i="1"/>
  <c r="G54" i="1"/>
  <c r="H54" i="1"/>
  <c r="I54" i="1"/>
  <c r="B62" i="1"/>
  <c r="C62" i="1"/>
  <c r="D62" i="1"/>
  <c r="E62" i="1"/>
  <c r="F62" i="1"/>
  <c r="G62" i="1"/>
  <c r="H62" i="1"/>
  <c r="I62" i="1"/>
  <c r="B68" i="1"/>
  <c r="B70" i="1" s="1"/>
  <c r="C70" i="1"/>
  <c r="D70" i="1"/>
  <c r="E70" i="1"/>
  <c r="F70" i="1"/>
  <c r="G70" i="1"/>
  <c r="H70" i="1"/>
  <c r="I70" i="1"/>
  <c r="B78" i="1"/>
  <c r="C78" i="1"/>
  <c r="D78" i="1"/>
  <c r="E78" i="1"/>
  <c r="F78" i="1"/>
  <c r="G78" i="1"/>
  <c r="H78" i="1"/>
  <c r="I78" i="1"/>
  <c r="B86" i="1"/>
  <c r="C86" i="1"/>
  <c r="D86" i="1"/>
  <c r="E86" i="1"/>
  <c r="F86" i="1"/>
  <c r="G86" i="1"/>
  <c r="H86" i="1"/>
  <c r="I86" i="1"/>
  <c r="B94" i="1"/>
  <c r="C94" i="1"/>
  <c r="D94" i="1"/>
  <c r="E94" i="1"/>
  <c r="F94" i="1"/>
  <c r="G94" i="1"/>
  <c r="H94" i="1"/>
  <c r="I94" i="1"/>
  <c r="B102" i="1"/>
  <c r="C102" i="1"/>
  <c r="D102" i="1"/>
  <c r="E102" i="1"/>
  <c r="F102" i="1"/>
  <c r="G102" i="1"/>
  <c r="H102" i="1"/>
  <c r="I102" i="1"/>
  <c r="B110" i="1"/>
  <c r="C110" i="1"/>
  <c r="D110" i="1"/>
  <c r="E110" i="1"/>
  <c r="F110" i="1"/>
  <c r="G110" i="1"/>
  <c r="H110" i="1"/>
  <c r="I110" i="1"/>
  <c r="O110" i="1"/>
  <c r="M110" i="1"/>
  <c r="L110" i="1"/>
  <c r="K110" i="1"/>
  <c r="J110" i="1"/>
  <c r="N108" i="1"/>
  <c r="P108" i="1" s="1"/>
  <c r="P107" i="1"/>
  <c r="N106" i="1"/>
  <c r="P106" i="1" s="1"/>
  <c r="M102" i="1"/>
  <c r="L102" i="1"/>
  <c r="K102" i="1"/>
  <c r="J102" i="1"/>
  <c r="O102" i="1"/>
  <c r="N100" i="1"/>
  <c r="P100" i="1" s="1"/>
  <c r="P99" i="1"/>
  <c r="N98" i="1"/>
  <c r="P98" i="1" s="1"/>
  <c r="N97" i="1"/>
  <c r="P97" i="1" s="1"/>
  <c r="M94" i="1"/>
  <c r="L94" i="1"/>
  <c r="K94" i="1"/>
  <c r="J94" i="1"/>
  <c r="P91" i="1"/>
  <c r="O94" i="1"/>
  <c r="N89" i="1"/>
  <c r="P89" i="1" s="1"/>
  <c r="O84" i="1"/>
  <c r="O86" i="1" s="1"/>
  <c r="N84" i="1"/>
  <c r="N82" i="1"/>
  <c r="P82" i="1" s="1"/>
  <c r="N81" i="1"/>
  <c r="P81" i="1" s="1"/>
  <c r="L86" i="1"/>
  <c r="M86" i="1"/>
  <c r="J86" i="1"/>
  <c r="N76" i="1"/>
  <c r="O76" i="1"/>
  <c r="O78" i="1" s="1"/>
  <c r="N74" i="1"/>
  <c r="P74" i="1" s="1"/>
  <c r="N73" i="1"/>
  <c r="P73" i="1" s="1"/>
  <c r="M78" i="1"/>
  <c r="L78" i="1"/>
  <c r="K78" i="1"/>
  <c r="J78" i="1"/>
  <c r="M70" i="1"/>
  <c r="L70" i="1"/>
  <c r="K70" i="1"/>
  <c r="J70" i="1"/>
  <c r="O68" i="1"/>
  <c r="O70" i="1" s="1"/>
  <c r="N66" i="1"/>
  <c r="P66" i="1" s="1"/>
  <c r="N65" i="1"/>
  <c r="P65" i="1" s="1"/>
  <c r="M62" i="1"/>
  <c r="L62" i="1"/>
  <c r="K62" i="1"/>
  <c r="J62" i="1"/>
  <c r="N60" i="1"/>
  <c r="O60" i="1"/>
  <c r="O62" i="1" s="1"/>
  <c r="N58" i="1"/>
  <c r="P58" i="1" s="1"/>
  <c r="N57" i="1"/>
  <c r="P57" i="1" s="1"/>
  <c r="M54" i="1"/>
  <c r="L54" i="1"/>
  <c r="K54" i="1"/>
  <c r="J54" i="1"/>
  <c r="N49" i="1"/>
  <c r="N50" i="1"/>
  <c r="N52" i="1"/>
  <c r="P52" i="1" s="1"/>
  <c r="N41" i="1"/>
  <c r="O41" i="1"/>
  <c r="N42" i="1"/>
  <c r="O44" i="1"/>
  <c r="N44" i="1"/>
  <c r="O42" i="1"/>
  <c r="M46" i="1"/>
  <c r="L46" i="1"/>
  <c r="K46" i="1"/>
  <c r="J46" i="1"/>
  <c r="M38" i="1"/>
  <c r="L38" i="1"/>
  <c r="K38" i="1"/>
  <c r="J38" i="1"/>
  <c r="O38" i="1"/>
  <c r="N36" i="1"/>
  <c r="P36" i="1" s="1"/>
  <c r="N35" i="1"/>
  <c r="P35" i="1" s="1"/>
  <c r="N34" i="1"/>
  <c r="P34" i="1" s="1"/>
  <c r="N33" i="1"/>
  <c r="P33" i="1" s="1"/>
  <c r="M30" i="1"/>
  <c r="N11" i="1"/>
  <c r="P11" i="1" s="1"/>
  <c r="N10" i="1"/>
  <c r="P10" i="1" s="1"/>
  <c r="N20" i="1"/>
  <c r="P20" i="1" s="1"/>
  <c r="N19" i="1"/>
  <c r="L30" i="1"/>
  <c r="J30" i="1"/>
  <c r="K30" i="1"/>
  <c r="O30" i="1"/>
  <c r="N28" i="1"/>
  <c r="P28" i="1" s="1"/>
  <c r="N27" i="1"/>
  <c r="P27" i="1" s="1"/>
  <c r="N26" i="1"/>
  <c r="P26" i="1"/>
  <c r="N25" i="1"/>
  <c r="P25" i="1" s="1"/>
  <c r="N12" i="1"/>
  <c r="P12" i="1" s="1"/>
  <c r="N13" i="1"/>
  <c r="P13" i="1" s="1"/>
  <c r="M15" i="1"/>
  <c r="J15" i="1"/>
  <c r="K15" i="1"/>
  <c r="L15" i="1"/>
  <c r="O15" i="1"/>
  <c r="K86" i="1"/>
  <c r="N92" i="1"/>
  <c r="P92" i="1" s="1"/>
  <c r="N90" i="1"/>
  <c r="P90" i="1"/>
  <c r="N105" i="1"/>
  <c r="P105" i="1" s="1"/>
  <c r="D118" i="1"/>
  <c r="J6" i="3"/>
  <c r="H7" i="3"/>
  <c r="H4" i="3"/>
  <c r="D10" i="2"/>
  <c r="P113" i="1" l="1"/>
  <c r="P114" i="1"/>
  <c r="N22" i="1"/>
  <c r="O118" i="1"/>
  <c r="P60" i="1"/>
  <c r="N68" i="1"/>
  <c r="P68" i="1" s="1"/>
  <c r="P84" i="1"/>
  <c r="J8" i="3"/>
  <c r="J5" i="3"/>
  <c r="C11" i="2"/>
  <c r="E11" i="2" s="1"/>
  <c r="N134" i="1"/>
  <c r="P134" i="1" s="1"/>
  <c r="N78" i="1"/>
  <c r="P78" i="1" s="1"/>
  <c r="P42" i="1"/>
  <c r="P41" i="1"/>
  <c r="N126" i="1"/>
  <c r="P126" i="1" s="1"/>
  <c r="N118" i="1"/>
  <c r="P118" i="1" s="1"/>
  <c r="O19" i="1"/>
  <c r="P19" i="1" s="1"/>
  <c r="N110" i="1"/>
  <c r="P110" i="1" s="1"/>
  <c r="N86" i="1"/>
  <c r="P86" i="1" s="1"/>
  <c r="N62" i="1"/>
  <c r="P62" i="1" s="1"/>
  <c r="N38" i="1"/>
  <c r="P38" i="1" s="1"/>
  <c r="N102" i="1"/>
  <c r="P102" i="1" s="1"/>
  <c r="N94" i="1"/>
  <c r="P94" i="1" s="1"/>
  <c r="N70" i="1"/>
  <c r="P70" i="1" s="1"/>
  <c r="N46" i="1"/>
  <c r="N30" i="1"/>
  <c r="P30" i="1" s="1"/>
  <c r="P76" i="1"/>
  <c r="N15" i="1"/>
  <c r="P15" i="1" s="1"/>
  <c r="O46" i="1"/>
  <c r="P44" i="1"/>
  <c r="N54" i="1"/>
  <c r="O18" i="1"/>
  <c r="D11" i="2" l="1"/>
  <c r="P46" i="1"/>
  <c r="P18" i="1"/>
  <c r="O22" i="1"/>
  <c r="P22" i="1" s="1"/>
  <c r="P129" i="1" l="1"/>
</calcChain>
</file>

<file path=xl/sharedStrings.xml><?xml version="1.0" encoding="utf-8"?>
<sst xmlns="http://schemas.openxmlformats.org/spreadsheetml/2006/main" count="206" uniqueCount="85">
  <si>
    <t>------------------------------------------------------------------------------- Entries by month --------------------------------------------------------------------------</t>
  </si>
  <si>
    <t>Oct.</t>
  </si>
  <si>
    <t>Nov.</t>
  </si>
  <si>
    <t>Dec.</t>
  </si>
  <si>
    <t>Jan.</t>
  </si>
  <si>
    <t>Apr.</t>
  </si>
  <si>
    <t>May</t>
  </si>
  <si>
    <t>June</t>
  </si>
  <si>
    <t>July</t>
  </si>
  <si>
    <t>Aug.</t>
  </si>
  <si>
    <t>Sept.</t>
  </si>
  <si>
    <t>Entries</t>
  </si>
  <si>
    <t xml:space="preserve"> TRQ allocation</t>
  </si>
  <si>
    <t xml:space="preserve"> Global</t>
  </si>
  <si>
    <t xml:space="preserve"> Canada</t>
  </si>
  <si>
    <t xml:space="preserve"> Mexico  1/</t>
  </si>
  <si>
    <t xml:space="preserve"> Total</t>
  </si>
  <si>
    <t>FY 2009</t>
  </si>
  <si>
    <t xml:space="preserve"> Global reassigned from Mexico</t>
  </si>
  <si>
    <t xml:space="preserve"> Specialty  </t>
  </si>
  <si>
    <t>FY 2010</t>
  </si>
  <si>
    <t>FY 2011</t>
  </si>
  <si>
    <t>FY 2013</t>
  </si>
  <si>
    <t xml:space="preserve"> Specialty</t>
  </si>
  <si>
    <t>FY 2014</t>
  </si>
  <si>
    <t>FY 2015</t>
  </si>
  <si>
    <t>FY 2016</t>
  </si>
  <si>
    <t>FY 2017</t>
  </si>
  <si>
    <t>FY 2018</t>
  </si>
  <si>
    <t>FY 2019</t>
  </si>
  <si>
    <t>FY 2020</t>
  </si>
  <si>
    <t>FY 2021</t>
  </si>
  <si>
    <t xml:space="preserve"> percent</t>
  </si>
  <si>
    <t>Metric tons, raw value</t>
  </si>
  <si>
    <t>FY 2022</t>
  </si>
  <si>
    <t>FY 2007</t>
  </si>
  <si>
    <t>Countries</t>
  </si>
  <si>
    <t>Allocation</t>
  </si>
  <si>
    <t>Quantity entered</t>
  </si>
  <si>
    <t>Remaining</t>
  </si>
  <si>
    <t>Portion of</t>
  </si>
  <si>
    <t>balance</t>
  </si>
  <si>
    <t>Refined Global</t>
  </si>
  <si>
    <t>Refined Canada</t>
  </si>
  <si>
    <t>Refined Specialty</t>
  </si>
  <si>
    <t>allocation filled</t>
  </si>
  <si>
    <t>Percent</t>
  </si>
  <si>
    <t>Announced 8/30/05</t>
  </si>
  <si>
    <t>Announced 12/9/05</t>
  </si>
  <si>
    <t>Announced 2/21/06</t>
  </si>
  <si>
    <t>Announced 8/03/2006</t>
  </si>
  <si>
    <t>Total</t>
  </si>
  <si>
    <t>Quantity entered 10/3/2006</t>
  </si>
  <si>
    <t>Remaining balance</t>
  </si>
  <si>
    <t xml:space="preserve">Fill rate </t>
  </si>
  <si>
    <t>Last updated: 11/9/2006.</t>
  </si>
  <si>
    <t>Last updated: 10/12/2007.</t>
  </si>
  <si>
    <t>Table 58a–U.S. refined sugar tariff-rate quota World Trade Organization allocations and entries by month, since fiscal year 2008</t>
  </si>
  <si>
    <t>Table 58c–U.S. refined sugar tariff-rate quota World Trade Organization allocations and entries, fiscal year 2006</t>
  </si>
  <si>
    <t>Table 58b–U.S. refined sugar tariff-rate quota World Trade Organization allocations and entries, fiscal year 2007</t>
  </si>
  <si>
    <t>1/ This amount is also included in Table 60, U.S. imports of sugar from Mexico.</t>
  </si>
  <si>
    <t>Table 58–U.S. refined sugar tariff-rate quota World Trade Organization allocations and entries by month, since fiscal year 2006</t>
  </si>
  <si>
    <t>Feb.</t>
  </si>
  <si>
    <t>Mar.</t>
  </si>
  <si>
    <t>Total Mexico (including NAFTA)</t>
  </si>
  <si>
    <t>Contact: Vidalina Abadam at USDA, Economic Research Service.</t>
  </si>
  <si>
    <t>Total refined TRQ plus Mexico</t>
  </si>
  <si>
    <t>----------------  Metric tons, raw value-----------</t>
  </si>
  <si>
    <t>FY 2023</t>
  </si>
  <si>
    <t xml:space="preserve">NAFTA = North American Free Trade Agreement; TRQ = tariff-rate quota; FY = fiscal year. </t>
  </si>
  <si>
    <t>NAFTA = North American Free Trade Agreement; TRQ = tariff-rate quota.</t>
  </si>
  <si>
    <t>N/A</t>
  </si>
  <si>
    <r>
      <t xml:space="preserve">Source: USDA, Foreign Agricultural Service </t>
    </r>
    <r>
      <rPr>
        <i/>
        <sz val="10"/>
        <rFont val="Arial"/>
        <family val="2"/>
      </rPr>
      <t>U.S. Sugar Monthly Import and Re-Exports</t>
    </r>
    <r>
      <rPr>
        <sz val="10"/>
        <rFont val="Arial"/>
        <family val="2"/>
      </rPr>
      <t xml:space="preserve"> report; U.S. Customs and Border Protection, </t>
    </r>
    <r>
      <rPr>
        <i/>
        <sz val="10"/>
        <rFont val="Arial"/>
        <family val="2"/>
      </rPr>
      <t>Weekly Commodity Status Report</t>
    </r>
    <r>
      <rPr>
        <sz val="10"/>
        <rFont val="Arial"/>
        <family val="2"/>
      </rPr>
      <t xml:space="preserve">. </t>
    </r>
  </si>
  <si>
    <t>FY 2012 2/</t>
  </si>
  <si>
    <t xml:space="preserve">2/ In FY 2012, Oct. 2011 refined TRQ imports of 132,249 MTRV include 111,078 MTRV under the FY 2011 global refined TRQ and 425 MTRV under Canada's FY 2011 refined sugar TRQ. Nov. 2011 refined TRQ imports of 29,043 MTRV include 17,110 MTRV of Canada's FY 2011 refined sugar TRQ. N/A is assigned for both the "TRQ allocation" column and "Entries percent" because only the "Entries" column is additive, not the TRQs, in this case. </t>
  </si>
  <si>
    <t xml:space="preserve"> Mexico</t>
  </si>
  <si>
    <t xml:space="preserve">FY 2008 </t>
  </si>
  <si>
    <t>FY 2008 TRQ sugar</t>
  </si>
  <si>
    <t xml:space="preserve">Note: Slight differences compared with data sources are due to rounding. </t>
  </si>
  <si>
    <t>Refined global</t>
  </si>
  <si>
    <t>Refined specialty</t>
  </si>
  <si>
    <t>Source: U.S. Trade Representative (allocations); U.S. Customs Service (quantity entered).</t>
  </si>
  <si>
    <t>FY 2024</t>
  </si>
  <si>
    <t>MTRV = metric tons, raw value; TRQ = tariff-rate quota; FY = fiscal year; N/A = not available.</t>
  </si>
  <si>
    <t>Last updated: 5/17/2024.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</si>
</sst>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Red]#,##0"/>
    <numFmt numFmtId="168" formatCode="0;[Red]0"/>
  </numFmts>
  <fonts count="9" x14ac:knownFonts="1">
    <font>
      <sz val="10"/>
      <name val="Arial"/>
    </font>
    <font>
      <sz val="10"/>
      <name val="Arial"/>
      <family val="2"/>
    </font>
    <font>
      <sz val="8"/>
      <name val="Arial"/>
      <family val="2"/>
    </font>
    <font>
      <sz val="10"/>
      <name val="Arial"/>
      <family val="2"/>
    </font>
    <font>
      <b/>
      <sz val="10"/>
      <name val="Arial"/>
      <family val="2"/>
    </font>
    <font>
      <i/>
      <sz val="10"/>
      <name val="Arial"/>
      <family val="2"/>
    </font>
    <font>
      <u/>
      <sz val="10"/>
      <name val="Arial"/>
      <family val="2"/>
    </font>
    <font>
      <u/>
      <sz val="10"/>
      <color theme="10"/>
      <name val="Arial"/>
      <family val="2"/>
    </font>
    <font>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xf numFmtId="0" fontId="7" fillId="0" borderId="0" applyNumberFormat="0" applyFill="0" applyBorder="0" applyAlignment="0" applyProtection="0"/>
  </cellStyleXfs>
  <cellXfs count="67">
    <xf numFmtId="0" fontId="0" fillId="0" borderId="0" xfId="0"/>
    <xf numFmtId="0" fontId="4" fillId="0" borderId="0" xfId="0" applyFont="1" applyAlignment="1">
      <alignment horizontal="left"/>
    </xf>
    <xf numFmtId="0" fontId="3" fillId="0" borderId="0" xfId="0" applyFont="1"/>
    <xf numFmtId="0" fontId="5" fillId="0" borderId="0" xfId="0" applyFont="1"/>
    <xf numFmtId="0" fontId="5" fillId="0" borderId="0" xfId="0" applyFont="1" applyAlignment="1">
      <alignment horizontal="center"/>
    </xf>
    <xf numFmtId="3" fontId="6" fillId="0" borderId="0" xfId="0" applyNumberFormat="1" applyFont="1"/>
    <xf numFmtId="0" fontId="3" fillId="0" borderId="0" xfId="0" applyFont="1" applyAlignment="1">
      <alignment horizontal="center"/>
    </xf>
    <xf numFmtId="164" fontId="3" fillId="0" borderId="0" xfId="1" applyNumberFormat="1" applyFont="1"/>
    <xf numFmtId="164" fontId="3" fillId="0" borderId="1" xfId="1" applyNumberFormat="1" applyFont="1" applyBorder="1"/>
    <xf numFmtId="0" fontId="5" fillId="0" borderId="0" xfId="2" applyFont="1" applyAlignment="1">
      <alignment horizontal="center" wrapText="1"/>
    </xf>
    <xf numFmtId="0" fontId="5" fillId="0" borderId="0" xfId="0" applyFont="1" applyAlignment="1">
      <alignment horizontal="center" wrapText="1"/>
    </xf>
    <xf numFmtId="0" fontId="5" fillId="0" borderId="1" xfId="0" applyFont="1" applyBorder="1" applyAlignment="1">
      <alignment horizontal="center"/>
    </xf>
    <xf numFmtId="14" fontId="5" fillId="0" borderId="1" xfId="0" quotePrefix="1" applyNumberFormat="1" applyFont="1" applyBorder="1" applyAlignment="1">
      <alignment horizontal="center"/>
    </xf>
    <xf numFmtId="14" fontId="5" fillId="0" borderId="0" xfId="0" quotePrefix="1" applyNumberFormat="1" applyFont="1" applyAlignment="1">
      <alignment horizontal="center"/>
    </xf>
    <xf numFmtId="0" fontId="3" fillId="0" borderId="1" xfId="2" applyBorder="1"/>
    <xf numFmtId="3" fontId="3" fillId="0" borderId="1" xfId="2" applyNumberFormat="1" applyBorder="1"/>
    <xf numFmtId="0" fontId="3" fillId="0" borderId="0" xfId="2"/>
    <xf numFmtId="3" fontId="3" fillId="0" borderId="0" xfId="2" applyNumberFormat="1"/>
    <xf numFmtId="3" fontId="3" fillId="0" borderId="0" xfId="2" applyNumberFormat="1" applyAlignment="1">
      <alignment horizontal="center"/>
    </xf>
    <xf numFmtId="0" fontId="3" fillId="0" borderId="0" xfId="2" applyAlignment="1">
      <alignment horizontal="center"/>
    </xf>
    <xf numFmtId="3" fontId="3" fillId="0" borderId="1" xfId="2" applyNumberFormat="1" applyBorder="1" applyAlignment="1">
      <alignment horizontal="center"/>
    </xf>
    <xf numFmtId="14" fontId="3" fillId="0" borderId="1" xfId="2" applyNumberFormat="1" applyBorder="1" applyAlignment="1">
      <alignment horizontal="center"/>
    </xf>
    <xf numFmtId="0" fontId="3" fillId="0" borderId="1" xfId="2" applyBorder="1" applyAlignment="1">
      <alignment horizontal="center"/>
    </xf>
    <xf numFmtId="3" fontId="3" fillId="0" borderId="0" xfId="2" applyNumberFormat="1" applyAlignment="1">
      <alignment horizontal="left"/>
    </xf>
    <xf numFmtId="0" fontId="3" fillId="0" borderId="0" xfId="2" applyAlignment="1">
      <alignment horizontal="left" indent="2"/>
    </xf>
    <xf numFmtId="0" fontId="3" fillId="0" borderId="2" xfId="2" applyBorder="1" applyAlignment="1">
      <alignment wrapText="1"/>
    </xf>
    <xf numFmtId="3" fontId="3" fillId="0" borderId="2" xfId="2" applyNumberFormat="1" applyBorder="1" applyAlignment="1">
      <alignment horizontal="right" wrapText="1"/>
    </xf>
    <xf numFmtId="0" fontId="3" fillId="0" borderId="2" xfId="2" applyBorder="1" applyAlignment="1">
      <alignment horizontal="right" wrapText="1"/>
    </xf>
    <xf numFmtId="0" fontId="3" fillId="0" borderId="0" xfId="2" applyAlignment="1">
      <alignment horizontal="right" wrapText="1"/>
    </xf>
    <xf numFmtId="0" fontId="3" fillId="0" borderId="2" xfId="2" applyBorder="1" applyAlignment="1">
      <alignment horizontal="center" wrapText="1"/>
    </xf>
    <xf numFmtId="0" fontId="3" fillId="0" borderId="0" xfId="0" applyFont="1" applyAlignment="1">
      <alignment wrapText="1"/>
    </xf>
    <xf numFmtId="0" fontId="3" fillId="0" borderId="0" xfId="2" applyAlignment="1">
      <alignment wrapText="1"/>
    </xf>
    <xf numFmtId="166" fontId="3" fillId="0" borderId="0" xfId="2" applyNumberFormat="1"/>
    <xf numFmtId="166" fontId="3" fillId="0" borderId="1" xfId="2" applyNumberFormat="1" applyBorder="1"/>
    <xf numFmtId="0" fontId="4" fillId="0" borderId="0" xfId="2" applyFont="1"/>
    <xf numFmtId="0" fontId="1" fillId="0" borderId="1" xfId="0" applyFont="1" applyBorder="1"/>
    <xf numFmtId="0" fontId="1" fillId="0" borderId="1" xfId="2" applyFont="1" applyBorder="1"/>
    <xf numFmtId="0" fontId="1" fillId="0" borderId="0" xfId="2" applyFont="1"/>
    <xf numFmtId="0" fontId="1" fillId="0" borderId="0" xfId="0" applyFont="1"/>
    <xf numFmtId="0" fontId="7" fillId="0" borderId="0" xfId="3"/>
    <xf numFmtId="0" fontId="1" fillId="0" borderId="0" xfId="0" quotePrefix="1" applyFont="1" applyAlignment="1">
      <alignment horizontal="left"/>
    </xf>
    <xf numFmtId="17"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right"/>
    </xf>
    <xf numFmtId="3" fontId="1" fillId="0" borderId="0" xfId="0" applyNumberFormat="1" applyFont="1"/>
    <xf numFmtId="165" fontId="1" fillId="0" borderId="0" xfId="0" applyNumberFormat="1" applyFont="1"/>
    <xf numFmtId="3" fontId="1" fillId="0" borderId="0" xfId="0" applyNumberFormat="1" applyFont="1" applyAlignment="1">
      <alignment horizontal="right"/>
    </xf>
    <xf numFmtId="3" fontId="1" fillId="0" borderId="0" xfId="1" applyNumberFormat="1" applyFont="1"/>
    <xf numFmtId="3" fontId="1" fillId="0" borderId="1" xfId="0" applyNumberFormat="1" applyFont="1" applyBorder="1"/>
    <xf numFmtId="165" fontId="1" fillId="0" borderId="1" xfId="0" applyNumberFormat="1" applyFont="1" applyBorder="1"/>
    <xf numFmtId="14" fontId="1" fillId="0" borderId="0" xfId="0" applyNumberFormat="1" applyFont="1"/>
    <xf numFmtId="14" fontId="1" fillId="0" borderId="0" xfId="0" quotePrefix="1" applyNumberFormat="1" applyFont="1"/>
    <xf numFmtId="3" fontId="1" fillId="0" borderId="1" xfId="0" applyNumberFormat="1" applyFont="1" applyBorder="1" applyAlignment="1">
      <alignment horizontal="right"/>
    </xf>
    <xf numFmtId="164" fontId="3" fillId="0" borderId="0" xfId="1" applyNumberFormat="1" applyFont="1" applyBorder="1"/>
    <xf numFmtId="0" fontId="1" fillId="0" borderId="0" xfId="2" applyFont="1" applyAlignment="1">
      <alignment horizontal="left" indent="2"/>
    </xf>
    <xf numFmtId="0" fontId="8" fillId="0" borderId="0" xfId="0" applyFont="1"/>
    <xf numFmtId="0" fontId="1" fillId="0" borderId="1" xfId="2" applyFont="1" applyBorder="1" applyAlignment="1">
      <alignment horizontal="left" indent="4"/>
    </xf>
    <xf numFmtId="3" fontId="1" fillId="0" borderId="0" xfId="2" quotePrefix="1" applyNumberFormat="1" applyFont="1" applyAlignment="1">
      <alignment horizontal="left"/>
    </xf>
    <xf numFmtId="167" fontId="1" fillId="0" borderId="0" xfId="0" applyNumberFormat="1" applyFont="1"/>
    <xf numFmtId="167" fontId="1" fillId="0" borderId="0" xfId="0" applyNumberFormat="1" applyFont="1" applyAlignment="1">
      <alignment horizontal="right"/>
    </xf>
    <xf numFmtId="168" fontId="1" fillId="0" borderId="0" xfId="0" applyNumberFormat="1" applyFont="1" applyAlignment="1">
      <alignment horizontal="right"/>
    </xf>
    <xf numFmtId="0" fontId="1" fillId="0" borderId="0" xfId="0" applyFont="1" applyAlignment="1">
      <alignment horizontal="left"/>
    </xf>
    <xf numFmtId="2" fontId="1" fillId="0" borderId="0" xfId="0" applyNumberFormat="1" applyFont="1" applyAlignment="1">
      <alignment horizontal="left" vertical="top" wrapText="1"/>
    </xf>
    <xf numFmtId="3" fontId="1" fillId="0" borderId="3" xfId="2" applyNumberFormat="1" applyFont="1" applyBorder="1" applyAlignment="1">
      <alignment horizontal="center" wrapText="1"/>
    </xf>
    <xf numFmtId="0" fontId="1" fillId="0" borderId="3" xfId="0" applyFont="1" applyBorder="1" applyAlignment="1">
      <alignment horizontal="center" wrapText="1"/>
    </xf>
  </cellXfs>
  <cellStyles count="4">
    <cellStyle name="Comma" xfId="1" builtinId="3"/>
    <cellStyle name="Hyperlink" xfId="3"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0A0A6-5D2E-4CBF-A1F6-85054ECA8218}">
  <dimension ref="A1:A8"/>
  <sheetViews>
    <sheetView tabSelected="1" workbookViewId="0"/>
  </sheetViews>
  <sheetFormatPr defaultColWidth="9.140625" defaultRowHeight="12.75" x14ac:dyDescent="0.2"/>
  <cols>
    <col min="1" max="16384" width="9.140625" style="38"/>
  </cols>
  <sheetData>
    <row r="1" spans="1:1" x14ac:dyDescent="0.2">
      <c r="A1" s="34" t="s">
        <v>61</v>
      </c>
    </row>
    <row r="2" spans="1:1" x14ac:dyDescent="0.2">
      <c r="A2" s="39" t="s">
        <v>57</v>
      </c>
    </row>
    <row r="3" spans="1:1" x14ac:dyDescent="0.2">
      <c r="A3" s="39" t="s">
        <v>59</v>
      </c>
    </row>
    <row r="4" spans="1:1" x14ac:dyDescent="0.2">
      <c r="A4" s="39" t="s">
        <v>58</v>
      </c>
    </row>
    <row r="6" spans="1:1" x14ac:dyDescent="0.2">
      <c r="A6" s="57" t="s">
        <v>84</v>
      </c>
    </row>
    <row r="8" spans="1:1" x14ac:dyDescent="0.2">
      <c r="A8" s="57" t="s">
        <v>65</v>
      </c>
    </row>
  </sheetData>
  <hyperlinks>
    <hyperlink ref="A2" location="Table58a!A1" display="Table 58a–U.S. refined sugar tariff-rate quota World Trade Organization allocations and entries by month, since fiscal year 2008" xr:uid="{8BAAAC51-BDF7-42B6-88A8-856993DF8312}"/>
    <hyperlink ref="A3" location="Table58b!A1" display="Table 58b–U.S. refined sugar tariff-rate quota World Trade Organization allocations and entries, fiscal year 2007" xr:uid="{F04A5BB7-A6BC-4325-BEC1-1FE7DF471336}"/>
    <hyperlink ref="A4" location="Table58c!A1" display="Table 58c–U.S. refined sugar tariff-rate quota World Trade Organization allocations and entries, fiscal year 2006" xr:uid="{7D386AC7-365E-4121-A994-F91AC7DE69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Q164"/>
  <sheetViews>
    <sheetView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40625" defaultRowHeight="12.75" x14ac:dyDescent="0.2"/>
  <cols>
    <col min="1" max="1" width="27.7109375" style="38" customWidth="1"/>
    <col min="2" max="2" width="10" style="38" customWidth="1"/>
    <col min="3" max="3" width="9" style="38" customWidth="1"/>
    <col min="4" max="4" width="10" style="38" customWidth="1"/>
    <col min="5" max="13" width="9" style="38" customWidth="1"/>
    <col min="14" max="14" width="11.28515625" style="38" customWidth="1"/>
    <col min="15" max="15" width="13.140625" style="38" customWidth="1"/>
    <col min="16" max="16" width="11.28515625" style="38" customWidth="1"/>
    <col min="17" max="16384" width="9.140625" style="38"/>
  </cols>
  <sheetData>
    <row r="1" spans="1:17" x14ac:dyDescent="0.2">
      <c r="A1" s="35" t="s">
        <v>57</v>
      </c>
      <c r="B1" s="35"/>
      <c r="C1" s="35"/>
      <c r="D1" s="35"/>
      <c r="E1" s="35"/>
      <c r="F1" s="35"/>
      <c r="G1" s="35"/>
      <c r="H1" s="35"/>
      <c r="I1" s="35"/>
      <c r="J1" s="35"/>
      <c r="K1" s="35"/>
      <c r="L1" s="35"/>
      <c r="M1" s="35"/>
      <c r="N1" s="35"/>
      <c r="O1" s="35"/>
      <c r="P1" s="35"/>
    </row>
    <row r="3" spans="1:17" ht="12.75" customHeight="1" x14ac:dyDescent="0.2">
      <c r="A3" s="1"/>
      <c r="B3" s="40" t="s">
        <v>0</v>
      </c>
      <c r="C3" s="1"/>
      <c r="D3" s="1"/>
      <c r="E3" s="1"/>
      <c r="F3" s="1"/>
      <c r="G3" s="1"/>
      <c r="H3" s="1"/>
      <c r="I3" s="1"/>
      <c r="J3" s="1"/>
      <c r="K3" s="1"/>
      <c r="L3" s="1"/>
      <c r="M3" s="1"/>
      <c r="N3" s="1"/>
      <c r="O3" s="1"/>
      <c r="P3" s="1"/>
    </row>
    <row r="5" spans="1:17" ht="12.75" customHeight="1" x14ac:dyDescent="0.2">
      <c r="A5" s="1"/>
      <c r="B5" s="41" t="s">
        <v>1</v>
      </c>
      <c r="C5" s="41" t="s">
        <v>2</v>
      </c>
      <c r="D5" s="41" t="s">
        <v>3</v>
      </c>
      <c r="E5" s="41" t="s">
        <v>4</v>
      </c>
      <c r="F5" s="41" t="s">
        <v>62</v>
      </c>
      <c r="G5" s="41" t="s">
        <v>63</v>
      </c>
      <c r="H5" s="41" t="s">
        <v>5</v>
      </c>
      <c r="I5" s="41" t="s">
        <v>6</v>
      </c>
      <c r="J5" s="41" t="s">
        <v>7</v>
      </c>
      <c r="K5" s="41" t="s">
        <v>8</v>
      </c>
      <c r="L5" s="41" t="s">
        <v>9</v>
      </c>
      <c r="M5" s="41" t="s">
        <v>10</v>
      </c>
      <c r="N5" s="42" t="s">
        <v>11</v>
      </c>
      <c r="O5" s="43" t="s">
        <v>12</v>
      </c>
      <c r="P5" s="42" t="s">
        <v>11</v>
      </c>
      <c r="Q5" s="44"/>
    </row>
    <row r="6" spans="1:17" ht="12.75" customHeight="1" x14ac:dyDescent="0.2">
      <c r="A6" s="35"/>
      <c r="B6" s="11"/>
      <c r="C6" s="11"/>
      <c r="D6" s="11"/>
      <c r="E6" s="11"/>
      <c r="F6" s="38" t="s">
        <v>33</v>
      </c>
      <c r="G6" s="12"/>
      <c r="H6" s="12"/>
      <c r="I6" s="12"/>
      <c r="J6" s="12"/>
      <c r="K6" s="12"/>
      <c r="L6" s="12"/>
      <c r="M6" s="12"/>
      <c r="N6" s="45"/>
      <c r="O6" s="45"/>
      <c r="P6" s="43" t="s">
        <v>32</v>
      </c>
    </row>
    <row r="7" spans="1:17" ht="12.75" customHeight="1" x14ac:dyDescent="0.2">
      <c r="B7" s="4"/>
      <c r="C7" s="4"/>
      <c r="D7" s="4"/>
      <c r="E7" s="4"/>
      <c r="F7" s="13"/>
      <c r="N7" s="43"/>
      <c r="O7" s="43"/>
    </row>
    <row r="8" spans="1:17" ht="12.75" customHeight="1" x14ac:dyDescent="0.2">
      <c r="N8" s="4"/>
      <c r="O8" s="4"/>
    </row>
    <row r="9" spans="1:17" ht="12.75" customHeight="1" x14ac:dyDescent="0.2">
      <c r="A9" s="38" t="s">
        <v>76</v>
      </c>
      <c r="F9" s="3"/>
    </row>
    <row r="10" spans="1:17" ht="12.75" customHeight="1" x14ac:dyDescent="0.2">
      <c r="A10" s="38" t="s">
        <v>13</v>
      </c>
      <c r="B10" s="46">
        <v>7090</v>
      </c>
      <c r="C10" s="46">
        <v>0</v>
      </c>
      <c r="D10" s="46">
        <v>0</v>
      </c>
      <c r="E10" s="46">
        <v>0</v>
      </c>
      <c r="F10" s="46">
        <v>0</v>
      </c>
      <c r="G10" s="46">
        <v>0</v>
      </c>
      <c r="H10" s="46">
        <v>0</v>
      </c>
      <c r="I10" s="46">
        <v>0</v>
      </c>
      <c r="J10" s="46">
        <v>0</v>
      </c>
      <c r="K10" s="46">
        <v>0</v>
      </c>
      <c r="L10" s="46">
        <v>28394</v>
      </c>
      <c r="M10" s="46">
        <v>66538</v>
      </c>
      <c r="N10" s="46">
        <f>SUM(B10:M10)</f>
        <v>102022</v>
      </c>
      <c r="O10" s="46">
        <v>170967</v>
      </c>
      <c r="P10" s="47">
        <f>100*N10/O10</f>
        <v>59.67350424350898</v>
      </c>
    </row>
    <row r="11" spans="1:17" ht="12.75" customHeight="1" x14ac:dyDescent="0.2">
      <c r="A11" s="38" t="s">
        <v>14</v>
      </c>
      <c r="B11" s="46">
        <v>4167.4440000000004</v>
      </c>
      <c r="C11" s="46">
        <v>821.86599999999999</v>
      </c>
      <c r="D11" s="46">
        <v>1882.155</v>
      </c>
      <c r="E11" s="46">
        <v>1526.1859999999997</v>
      </c>
      <c r="F11" s="46">
        <v>1235.68</v>
      </c>
      <c r="G11" s="46">
        <v>338</v>
      </c>
      <c r="H11" s="46">
        <v>57</v>
      </c>
      <c r="I11" s="46">
        <v>38</v>
      </c>
      <c r="J11" s="46">
        <v>58</v>
      </c>
      <c r="K11" s="46">
        <v>38</v>
      </c>
      <c r="L11" s="46">
        <v>310</v>
      </c>
      <c r="M11" s="46">
        <v>8837</v>
      </c>
      <c r="N11" s="46">
        <f>SUM(B11:M11)</f>
        <v>19309.330999999998</v>
      </c>
      <c r="O11" s="46">
        <v>50300</v>
      </c>
      <c r="P11" s="47">
        <f>100*N11/O11</f>
        <v>38.388332007952286</v>
      </c>
    </row>
    <row r="12" spans="1:17" ht="12.75" customHeight="1" x14ac:dyDescent="0.2">
      <c r="A12" s="38" t="s">
        <v>75</v>
      </c>
      <c r="B12" s="46">
        <v>0</v>
      </c>
      <c r="C12" s="46">
        <v>0</v>
      </c>
      <c r="D12" s="46">
        <v>0</v>
      </c>
      <c r="E12" s="46">
        <v>0</v>
      </c>
      <c r="F12" s="46">
        <v>0</v>
      </c>
      <c r="G12" s="46">
        <v>0</v>
      </c>
      <c r="H12" s="46">
        <v>0</v>
      </c>
      <c r="I12" s="46">
        <v>0</v>
      </c>
      <c r="J12" s="46">
        <v>0</v>
      </c>
      <c r="K12" s="46">
        <v>0</v>
      </c>
      <c r="L12" s="46">
        <v>0</v>
      </c>
      <c r="M12" s="46">
        <v>0</v>
      </c>
      <c r="N12" s="46">
        <f>SUM(B12:M12)</f>
        <v>0</v>
      </c>
      <c r="O12" s="46">
        <v>68278</v>
      </c>
      <c r="P12" s="47">
        <f>100*N12/O12</f>
        <v>0</v>
      </c>
    </row>
    <row r="13" spans="1:17" ht="12.75" customHeight="1" x14ac:dyDescent="0.2">
      <c r="A13" s="38" t="s">
        <v>19</v>
      </c>
      <c r="B13" s="46">
        <v>1656</v>
      </c>
      <c r="C13" s="46">
        <v>22544</v>
      </c>
      <c r="D13" s="46">
        <v>0</v>
      </c>
      <c r="E13" s="46">
        <v>0</v>
      </c>
      <c r="F13" s="46">
        <v>13653</v>
      </c>
      <c r="G13" s="46">
        <v>0</v>
      </c>
      <c r="H13" s="46">
        <v>0</v>
      </c>
      <c r="I13" s="46">
        <v>13653</v>
      </c>
      <c r="J13" s="46">
        <v>0</v>
      </c>
      <c r="K13" s="46">
        <v>0</v>
      </c>
      <c r="L13" s="46">
        <v>6961</v>
      </c>
      <c r="M13" s="46">
        <v>3572</v>
      </c>
      <c r="N13" s="46">
        <f>SUM(B13:M13)</f>
        <v>62039</v>
      </c>
      <c r="O13" s="46">
        <v>65159</v>
      </c>
      <c r="P13" s="47">
        <f>100*N13/O13</f>
        <v>95.211712886938102</v>
      </c>
    </row>
    <row r="14" spans="1:17" ht="12.75" customHeight="1" x14ac:dyDescent="0.2">
      <c r="B14" s="46"/>
      <c r="C14" s="46"/>
      <c r="D14" s="46"/>
      <c r="E14" s="46"/>
      <c r="F14" s="46"/>
      <c r="G14" s="46"/>
      <c r="H14" s="46"/>
      <c r="I14" s="46"/>
      <c r="J14" s="46"/>
      <c r="K14" s="46"/>
      <c r="L14" s="46"/>
      <c r="M14" s="46"/>
      <c r="N14" s="5"/>
      <c r="O14" s="5"/>
      <c r="P14" s="47"/>
    </row>
    <row r="15" spans="1:17" ht="12.75" customHeight="1" x14ac:dyDescent="0.2">
      <c r="A15" s="38" t="s">
        <v>16</v>
      </c>
      <c r="B15" s="46">
        <f>SUM(B10:B13)</f>
        <v>12913.444</v>
      </c>
      <c r="C15" s="46">
        <f>SUM(C10:C13)</f>
        <v>23365.866000000002</v>
      </c>
      <c r="D15" s="46">
        <f>SUM(D10:D13)</f>
        <v>1882.155</v>
      </c>
      <c r="E15" s="46">
        <f t="shared" ref="E15:K15" si="0">SUM(E10:E13)</f>
        <v>1526.1859999999997</v>
      </c>
      <c r="F15" s="46">
        <f t="shared" si="0"/>
        <v>14888.68</v>
      </c>
      <c r="G15" s="46">
        <f t="shared" si="0"/>
        <v>338</v>
      </c>
      <c r="H15" s="46">
        <f t="shared" si="0"/>
        <v>57</v>
      </c>
      <c r="I15" s="46">
        <f t="shared" si="0"/>
        <v>13691</v>
      </c>
      <c r="J15" s="46">
        <f t="shared" si="0"/>
        <v>58</v>
      </c>
      <c r="K15" s="46">
        <f t="shared" si="0"/>
        <v>38</v>
      </c>
      <c r="L15" s="46">
        <f>SUM(L10:L13)</f>
        <v>35665</v>
      </c>
      <c r="M15" s="46">
        <f>SUM(M10:M13)</f>
        <v>78947</v>
      </c>
      <c r="N15" s="46">
        <f>SUM(B15:M15)</f>
        <v>183370.33100000001</v>
      </c>
      <c r="O15" s="46">
        <f>SUM(O10:O13)</f>
        <v>354704</v>
      </c>
      <c r="P15" s="47">
        <f>100*N15/O15</f>
        <v>51.696719236320995</v>
      </c>
    </row>
    <row r="16" spans="1:17" ht="12.75" customHeight="1" x14ac:dyDescent="0.2">
      <c r="B16" s="46"/>
      <c r="C16" s="46"/>
      <c r="D16" s="46"/>
      <c r="E16" s="46"/>
      <c r="F16" s="46"/>
      <c r="G16" s="46"/>
      <c r="H16" s="46"/>
      <c r="I16" s="46"/>
      <c r="J16" s="46"/>
      <c r="K16" s="46"/>
      <c r="L16" s="46"/>
      <c r="M16" s="46"/>
      <c r="N16" s="46"/>
      <c r="O16" s="46"/>
      <c r="P16" s="47"/>
    </row>
    <row r="17" spans="1:16" ht="12.75" customHeight="1" x14ac:dyDescent="0.2">
      <c r="A17" s="38" t="s">
        <v>77</v>
      </c>
      <c r="B17" s="46"/>
      <c r="C17" s="46"/>
      <c r="D17" s="46"/>
      <c r="E17" s="46"/>
      <c r="F17" s="46"/>
      <c r="G17" s="46"/>
      <c r="H17" s="46"/>
      <c r="I17" s="46"/>
      <c r="J17" s="46"/>
      <c r="K17" s="46"/>
      <c r="L17" s="46"/>
      <c r="M17" s="46"/>
      <c r="N17" s="46"/>
      <c r="O17" s="46"/>
      <c r="P17" s="47"/>
    </row>
    <row r="18" spans="1:16" ht="12.75" customHeight="1" x14ac:dyDescent="0.2">
      <c r="A18" s="38" t="s">
        <v>13</v>
      </c>
      <c r="B18" s="46">
        <v>68945</v>
      </c>
      <c r="C18" s="46">
        <v>0</v>
      </c>
      <c r="D18" s="46">
        <v>0</v>
      </c>
      <c r="E18" s="48">
        <v>0</v>
      </c>
      <c r="F18" s="48">
        <v>0</v>
      </c>
      <c r="G18" s="48">
        <v>0</v>
      </c>
      <c r="H18" s="48">
        <v>0</v>
      </c>
      <c r="I18" s="48">
        <v>0</v>
      </c>
      <c r="J18" s="48">
        <v>0</v>
      </c>
      <c r="K18" s="48">
        <v>0</v>
      </c>
      <c r="L18" s="48">
        <v>0</v>
      </c>
      <c r="M18" s="48">
        <v>0</v>
      </c>
      <c r="N18" s="46">
        <f>SUM(B18:M18)</f>
        <v>68945</v>
      </c>
      <c r="O18" s="46">
        <f>O10-N10</f>
        <v>68945</v>
      </c>
      <c r="P18" s="47">
        <f>100*N18/O18</f>
        <v>100</v>
      </c>
    </row>
    <row r="19" spans="1:16" ht="12.75" customHeight="1" x14ac:dyDescent="0.2">
      <c r="A19" s="38" t="s">
        <v>14</v>
      </c>
      <c r="B19" s="46">
        <v>3881</v>
      </c>
      <c r="C19" s="46">
        <v>4467</v>
      </c>
      <c r="D19" s="46">
        <v>7246</v>
      </c>
      <c r="E19" s="48">
        <v>0</v>
      </c>
      <c r="F19" s="48">
        <v>0</v>
      </c>
      <c r="G19" s="48">
        <v>0</v>
      </c>
      <c r="H19" s="48">
        <v>0</v>
      </c>
      <c r="I19" s="48">
        <v>0</v>
      </c>
      <c r="J19" s="48">
        <v>0</v>
      </c>
      <c r="K19" s="48">
        <v>0</v>
      </c>
      <c r="L19" s="48">
        <v>0</v>
      </c>
      <c r="M19" s="48">
        <v>0</v>
      </c>
      <c r="N19" s="46">
        <f>SUM(B19:M19)</f>
        <v>15594</v>
      </c>
      <c r="O19" s="46">
        <f>O11-N11</f>
        <v>30990.669000000002</v>
      </c>
      <c r="P19" s="47">
        <f>100*N19/O19</f>
        <v>50.31837163631414</v>
      </c>
    </row>
    <row r="20" spans="1:16" ht="12.75" customHeight="1" x14ac:dyDescent="0.2">
      <c r="A20" s="38" t="s">
        <v>18</v>
      </c>
      <c r="B20" s="46">
        <v>28278</v>
      </c>
      <c r="C20" s="46">
        <v>20000</v>
      </c>
      <c r="D20" s="46">
        <v>20000</v>
      </c>
      <c r="E20" s="48">
        <v>0</v>
      </c>
      <c r="F20" s="48">
        <v>0</v>
      </c>
      <c r="G20" s="48">
        <v>0</v>
      </c>
      <c r="H20" s="48">
        <v>0</v>
      </c>
      <c r="I20" s="48">
        <v>0</v>
      </c>
      <c r="J20" s="48">
        <v>0</v>
      </c>
      <c r="K20" s="48">
        <v>0</v>
      </c>
      <c r="L20" s="48">
        <v>0</v>
      </c>
      <c r="M20" s="48">
        <v>0</v>
      </c>
      <c r="N20" s="46">
        <f>SUM(B20:M20)</f>
        <v>68278</v>
      </c>
      <c r="O20" s="46">
        <v>68278</v>
      </c>
      <c r="P20" s="47">
        <f>100*N20/O20</f>
        <v>100</v>
      </c>
    </row>
    <row r="21" spans="1:16" ht="12.75" customHeight="1" x14ac:dyDescent="0.2">
      <c r="B21" s="46"/>
      <c r="C21" s="46"/>
      <c r="D21" s="46"/>
      <c r="E21" s="46"/>
      <c r="F21" s="46"/>
      <c r="G21" s="46"/>
      <c r="H21" s="46"/>
      <c r="I21" s="46"/>
      <c r="J21" s="46"/>
      <c r="K21" s="46"/>
      <c r="L21" s="46"/>
      <c r="M21" s="46"/>
      <c r="N21" s="5"/>
      <c r="O21" s="5"/>
      <c r="P21" s="47"/>
    </row>
    <row r="22" spans="1:16" ht="12.75" customHeight="1" x14ac:dyDescent="0.2">
      <c r="A22" s="38" t="s">
        <v>16</v>
      </c>
      <c r="B22" s="46">
        <f>SUM(B18:B20)</f>
        <v>101104</v>
      </c>
      <c r="C22" s="46">
        <f>SUM(C18:C20)</f>
        <v>24467</v>
      </c>
      <c r="D22" s="46">
        <f>SUM(D18:D20)</f>
        <v>27246</v>
      </c>
      <c r="E22" s="46">
        <f t="shared" ref="E22:M22" si="1">SUM(E18:E20)</f>
        <v>0</v>
      </c>
      <c r="F22" s="46">
        <f t="shared" si="1"/>
        <v>0</v>
      </c>
      <c r="G22" s="46">
        <f t="shared" si="1"/>
        <v>0</v>
      </c>
      <c r="H22" s="46">
        <f t="shared" si="1"/>
        <v>0</v>
      </c>
      <c r="I22" s="46">
        <f t="shared" si="1"/>
        <v>0</v>
      </c>
      <c r="J22" s="46">
        <f t="shared" si="1"/>
        <v>0</v>
      </c>
      <c r="K22" s="46">
        <f t="shared" si="1"/>
        <v>0</v>
      </c>
      <c r="L22" s="46">
        <f t="shared" si="1"/>
        <v>0</v>
      </c>
      <c r="M22" s="46">
        <f t="shared" si="1"/>
        <v>0</v>
      </c>
      <c r="N22" s="46">
        <f>SUM(N18:N20)</f>
        <v>152817</v>
      </c>
      <c r="O22" s="46">
        <f>SUM(O18:O20)</f>
        <v>168213.66899999999</v>
      </c>
      <c r="P22" s="47">
        <f>100*N22/O22</f>
        <v>90.846957270755453</v>
      </c>
    </row>
    <row r="23" spans="1:16" ht="12.75" customHeight="1" x14ac:dyDescent="0.2">
      <c r="B23" s="46"/>
      <c r="C23" s="46"/>
      <c r="D23" s="46"/>
      <c r="E23" s="46"/>
      <c r="F23" s="46"/>
      <c r="G23" s="46"/>
      <c r="H23" s="46"/>
      <c r="I23" s="46"/>
      <c r="J23" s="46"/>
      <c r="K23" s="46"/>
      <c r="L23" s="46"/>
      <c r="M23" s="46"/>
      <c r="N23" s="46"/>
      <c r="O23" s="46"/>
      <c r="P23" s="47"/>
    </row>
    <row r="24" spans="1:16" ht="12.75" customHeight="1" x14ac:dyDescent="0.2">
      <c r="A24" s="38" t="s">
        <v>17</v>
      </c>
      <c r="B24" s="46"/>
      <c r="C24" s="46"/>
      <c r="D24" s="46"/>
      <c r="E24" s="46"/>
      <c r="F24" s="46"/>
      <c r="G24" s="46"/>
      <c r="H24" s="46"/>
      <c r="I24" s="46"/>
      <c r="J24" s="46"/>
      <c r="K24" s="46"/>
      <c r="L24" s="46"/>
      <c r="M24" s="46"/>
      <c r="N24" s="46"/>
      <c r="O24" s="46"/>
      <c r="P24" s="47"/>
    </row>
    <row r="25" spans="1:16" ht="12.75" customHeight="1" x14ac:dyDescent="0.2">
      <c r="A25" s="38" t="s">
        <v>13</v>
      </c>
      <c r="B25" s="46">
        <v>7090</v>
      </c>
      <c r="C25" s="46">
        <v>0</v>
      </c>
      <c r="D25" s="46">
        <v>0</v>
      </c>
      <c r="E25" s="46">
        <v>0</v>
      </c>
      <c r="F25" s="46">
        <v>0</v>
      </c>
      <c r="G25" s="46">
        <v>0</v>
      </c>
      <c r="H25" s="46">
        <v>0</v>
      </c>
      <c r="I25" s="46">
        <v>0</v>
      </c>
      <c r="J25" s="46">
        <v>0</v>
      </c>
      <c r="K25" s="46">
        <v>0</v>
      </c>
      <c r="L25" s="46">
        <v>0</v>
      </c>
      <c r="M25" s="46">
        <v>0</v>
      </c>
      <c r="N25" s="46">
        <f>SUM(B25:M25)</f>
        <v>7090</v>
      </c>
      <c r="O25" s="46">
        <v>7090</v>
      </c>
      <c r="P25" s="47">
        <f>100*N25/O25</f>
        <v>100</v>
      </c>
    </row>
    <row r="26" spans="1:16" ht="12.75" customHeight="1" x14ac:dyDescent="0.2">
      <c r="A26" s="38" t="s">
        <v>14</v>
      </c>
      <c r="B26" s="46">
        <v>0</v>
      </c>
      <c r="C26" s="46">
        <v>0</v>
      </c>
      <c r="D26" s="46">
        <v>0</v>
      </c>
      <c r="E26" s="46">
        <v>18</v>
      </c>
      <c r="F26" s="46">
        <v>38</v>
      </c>
      <c r="G26" s="46">
        <v>39</v>
      </c>
      <c r="H26" s="46">
        <v>78</v>
      </c>
      <c r="I26" s="46">
        <v>227</v>
      </c>
      <c r="J26" s="46">
        <v>2130</v>
      </c>
      <c r="K26" s="46">
        <v>3276</v>
      </c>
      <c r="L26" s="46">
        <v>3234</v>
      </c>
      <c r="M26" s="46">
        <v>789</v>
      </c>
      <c r="N26" s="46">
        <f>SUM(B26:M26)</f>
        <v>9829</v>
      </c>
      <c r="O26" s="46">
        <v>10300</v>
      </c>
      <c r="P26" s="47">
        <f>100*N26/O26</f>
        <v>95.427184466019412</v>
      </c>
    </row>
    <row r="27" spans="1:16" ht="12.75" customHeight="1" x14ac:dyDescent="0.2">
      <c r="A27" s="38" t="s">
        <v>75</v>
      </c>
      <c r="B27" s="46">
        <v>0</v>
      </c>
      <c r="C27" s="46">
        <v>0</v>
      </c>
      <c r="D27" s="46">
        <v>0</v>
      </c>
      <c r="E27" s="46">
        <v>0</v>
      </c>
      <c r="F27" s="46">
        <v>0</v>
      </c>
      <c r="G27" s="46">
        <v>0</v>
      </c>
      <c r="H27" s="46">
        <v>0</v>
      </c>
      <c r="I27" s="46">
        <v>0</v>
      </c>
      <c r="J27" s="46">
        <v>0</v>
      </c>
      <c r="K27" s="46">
        <v>0</v>
      </c>
      <c r="L27" s="46">
        <v>0</v>
      </c>
      <c r="M27" s="46">
        <v>0</v>
      </c>
      <c r="N27" s="46">
        <f>SUM(B27:M27)</f>
        <v>0</v>
      </c>
      <c r="O27" s="46">
        <v>2954</v>
      </c>
      <c r="P27" s="47">
        <f>100*N27/O27</f>
        <v>0</v>
      </c>
    </row>
    <row r="28" spans="1:16" ht="12.75" customHeight="1" x14ac:dyDescent="0.2">
      <c r="A28" s="38" t="s">
        <v>19</v>
      </c>
      <c r="B28" s="46">
        <v>1656</v>
      </c>
      <c r="C28" s="46">
        <v>25682</v>
      </c>
      <c r="D28" s="46">
        <v>0</v>
      </c>
      <c r="E28" s="46">
        <v>11045</v>
      </c>
      <c r="F28" s="46">
        <v>4404</v>
      </c>
      <c r="G28" s="46">
        <v>182</v>
      </c>
      <c r="H28" s="46">
        <v>0</v>
      </c>
      <c r="I28" s="46">
        <v>6601</v>
      </c>
      <c r="J28" s="46">
        <v>728</v>
      </c>
      <c r="K28" s="46">
        <v>2545</v>
      </c>
      <c r="L28" s="46">
        <v>1331</v>
      </c>
      <c r="M28" s="46">
        <v>5470</v>
      </c>
      <c r="N28" s="46">
        <f>SUM(B28:M28)</f>
        <v>59644</v>
      </c>
      <c r="O28" s="46">
        <v>74231</v>
      </c>
      <c r="P28" s="47">
        <f>100*N28/O28</f>
        <v>80.349180261615771</v>
      </c>
    </row>
    <row r="29" spans="1:16" ht="12.75" customHeight="1" x14ac:dyDescent="0.2">
      <c r="B29" s="46"/>
      <c r="C29" s="46"/>
      <c r="D29" s="46"/>
      <c r="E29" s="46"/>
      <c r="F29" s="46"/>
      <c r="G29" s="46"/>
      <c r="H29" s="46"/>
      <c r="I29" s="46"/>
      <c r="J29" s="46"/>
      <c r="K29" s="46"/>
      <c r="L29" s="46"/>
      <c r="M29" s="46"/>
      <c r="N29" s="5"/>
      <c r="O29" s="46"/>
      <c r="P29" s="47"/>
    </row>
    <row r="30" spans="1:16" ht="12.75" customHeight="1" x14ac:dyDescent="0.2">
      <c r="A30" s="38" t="s">
        <v>16</v>
      </c>
      <c r="B30" s="46">
        <f t="shared" ref="B30:M30" si="2">SUM(B25:B28)</f>
        <v>8746</v>
      </c>
      <c r="C30" s="46">
        <f t="shared" si="2"/>
        <v>25682</v>
      </c>
      <c r="D30" s="46">
        <f t="shared" si="2"/>
        <v>0</v>
      </c>
      <c r="E30" s="46">
        <f t="shared" si="2"/>
        <v>11063</v>
      </c>
      <c r="F30" s="46">
        <f t="shared" si="2"/>
        <v>4442</v>
      </c>
      <c r="G30" s="46">
        <f t="shared" si="2"/>
        <v>221</v>
      </c>
      <c r="H30" s="46">
        <f t="shared" si="2"/>
        <v>78</v>
      </c>
      <c r="I30" s="46">
        <f t="shared" si="2"/>
        <v>6828</v>
      </c>
      <c r="J30" s="46">
        <f t="shared" si="2"/>
        <v>2858</v>
      </c>
      <c r="K30" s="46">
        <f t="shared" si="2"/>
        <v>5821</v>
      </c>
      <c r="L30" s="46">
        <f t="shared" si="2"/>
        <v>4565</v>
      </c>
      <c r="M30" s="46">
        <f t="shared" si="2"/>
        <v>6259</v>
      </c>
      <c r="N30" s="46">
        <f>SUM(B30:M30)</f>
        <v>76563</v>
      </c>
      <c r="O30" s="46">
        <f>SUM(O25:O28)</f>
        <v>94575</v>
      </c>
      <c r="P30" s="47">
        <f>100*N30/O30</f>
        <v>80.954797779540044</v>
      </c>
    </row>
    <row r="31" spans="1:16" ht="12.75" customHeight="1" x14ac:dyDescent="0.2">
      <c r="B31" s="46"/>
      <c r="C31" s="46"/>
      <c r="D31" s="46"/>
      <c r="E31" s="46"/>
      <c r="F31" s="46"/>
      <c r="G31" s="46"/>
      <c r="H31" s="46"/>
      <c r="I31" s="46"/>
      <c r="J31" s="46"/>
      <c r="K31" s="46"/>
      <c r="L31" s="46"/>
      <c r="M31" s="46"/>
      <c r="N31" s="46"/>
      <c r="O31" s="46"/>
      <c r="P31" s="47"/>
    </row>
    <row r="32" spans="1:16" ht="12.75" customHeight="1" x14ac:dyDescent="0.2">
      <c r="A32" s="38" t="s">
        <v>20</v>
      </c>
      <c r="B32" s="46"/>
      <c r="C32" s="46"/>
      <c r="D32" s="46"/>
      <c r="E32" s="46"/>
      <c r="F32" s="46"/>
      <c r="G32" s="46"/>
      <c r="H32" s="46"/>
      <c r="I32" s="46"/>
      <c r="J32" s="46"/>
      <c r="K32" s="46"/>
      <c r="L32" s="46"/>
      <c r="M32" s="46"/>
      <c r="N32" s="46"/>
      <c r="O32" s="46"/>
      <c r="P32" s="47"/>
    </row>
    <row r="33" spans="1:16" ht="12.75" customHeight="1" x14ac:dyDescent="0.2">
      <c r="A33" s="38" t="s">
        <v>13</v>
      </c>
      <c r="B33" s="46">
        <v>7090</v>
      </c>
      <c r="C33" s="46">
        <v>0</v>
      </c>
      <c r="D33" s="46">
        <v>0</v>
      </c>
      <c r="E33" s="46">
        <v>0</v>
      </c>
      <c r="F33" s="46">
        <v>0</v>
      </c>
      <c r="G33" s="46">
        <v>0</v>
      </c>
      <c r="H33" s="46">
        <v>0</v>
      </c>
      <c r="I33" s="46">
        <v>0</v>
      </c>
      <c r="J33" s="46">
        <v>0</v>
      </c>
      <c r="K33" s="46">
        <v>0</v>
      </c>
      <c r="L33" s="46">
        <v>0</v>
      </c>
      <c r="M33" s="46">
        <v>0</v>
      </c>
      <c r="N33" s="46">
        <f>SUM(B33:M33)</f>
        <v>7090</v>
      </c>
      <c r="O33" s="46">
        <v>7090</v>
      </c>
      <c r="P33" s="47">
        <f>100*N33/O33</f>
        <v>100</v>
      </c>
    </row>
    <row r="34" spans="1:16" ht="12.75" customHeight="1" x14ac:dyDescent="0.2">
      <c r="A34" s="38" t="s">
        <v>14</v>
      </c>
      <c r="B34" s="46">
        <v>0</v>
      </c>
      <c r="C34" s="46">
        <v>1299</v>
      </c>
      <c r="D34" s="46">
        <v>1334</v>
      </c>
      <c r="E34" s="46">
        <v>1601</v>
      </c>
      <c r="F34" s="46">
        <v>1399</v>
      </c>
      <c r="G34" s="46">
        <v>1115</v>
      </c>
      <c r="H34" s="46">
        <v>652</v>
      </c>
      <c r="I34" s="46">
        <v>803</v>
      </c>
      <c r="J34" s="46">
        <v>685</v>
      </c>
      <c r="K34" s="46">
        <v>1137</v>
      </c>
      <c r="L34" s="46">
        <v>137.4</v>
      </c>
      <c r="M34" s="46">
        <v>137.4</v>
      </c>
      <c r="N34" s="46">
        <f>SUM(B34:M34)</f>
        <v>10299.799999999999</v>
      </c>
      <c r="O34" s="46">
        <v>10300</v>
      </c>
      <c r="P34" s="47">
        <f>100*N34/O34</f>
        <v>99.998058252427171</v>
      </c>
    </row>
    <row r="35" spans="1:16" ht="12.75" customHeight="1" x14ac:dyDescent="0.2">
      <c r="A35" s="38" t="s">
        <v>75</v>
      </c>
      <c r="B35" s="46">
        <v>0</v>
      </c>
      <c r="C35" s="46">
        <v>0</v>
      </c>
      <c r="D35" s="46">
        <v>0</v>
      </c>
      <c r="E35" s="46">
        <v>0</v>
      </c>
      <c r="F35" s="46">
        <v>0</v>
      </c>
      <c r="G35" s="46">
        <v>0</v>
      </c>
      <c r="H35" s="46">
        <v>0</v>
      </c>
      <c r="I35" s="46">
        <v>0</v>
      </c>
      <c r="J35" s="46">
        <v>0</v>
      </c>
      <c r="K35" s="46">
        <v>0</v>
      </c>
      <c r="L35" s="46">
        <v>0</v>
      </c>
      <c r="M35" s="46">
        <v>0</v>
      </c>
      <c r="N35" s="46">
        <f>SUM(B35:M35)</f>
        <v>0</v>
      </c>
      <c r="O35" s="46">
        <v>2954</v>
      </c>
      <c r="P35" s="47">
        <f>100*N35/O35</f>
        <v>0</v>
      </c>
    </row>
    <row r="36" spans="1:16" ht="12.75" customHeight="1" x14ac:dyDescent="0.2">
      <c r="A36" s="38" t="s">
        <v>19</v>
      </c>
      <c r="B36" s="46">
        <v>1656</v>
      </c>
      <c r="C36" s="46">
        <v>18137</v>
      </c>
      <c r="D36" s="46">
        <v>6829</v>
      </c>
      <c r="E36" s="46">
        <v>11868</v>
      </c>
      <c r="F36" s="46">
        <v>2478</v>
      </c>
      <c r="G36" s="46">
        <v>0</v>
      </c>
      <c r="H36" s="46">
        <v>0</v>
      </c>
      <c r="I36" s="46">
        <v>9656</v>
      </c>
      <c r="J36" s="46">
        <v>3084</v>
      </c>
      <c r="K36" s="46">
        <v>1238</v>
      </c>
      <c r="L36" s="46">
        <v>8140</v>
      </c>
      <c r="M36" s="46">
        <v>6609</v>
      </c>
      <c r="N36" s="46">
        <f>SUM(B36:M36)</f>
        <v>69695</v>
      </c>
      <c r="O36" s="46">
        <v>69695</v>
      </c>
      <c r="P36" s="47">
        <f>100*N36/O36</f>
        <v>100</v>
      </c>
    </row>
    <row r="37" spans="1:16" ht="12.75" customHeight="1" x14ac:dyDescent="0.2">
      <c r="B37" s="46"/>
      <c r="C37" s="46"/>
      <c r="D37" s="46"/>
      <c r="E37" s="46"/>
      <c r="F37" s="46"/>
      <c r="G37" s="46"/>
      <c r="H37" s="46"/>
      <c r="I37" s="46"/>
      <c r="J37" s="46"/>
      <c r="K37" s="46"/>
      <c r="L37" s="46"/>
      <c r="M37" s="46"/>
      <c r="N37" s="5"/>
      <c r="O37" s="46"/>
      <c r="P37" s="47"/>
    </row>
    <row r="38" spans="1:16" ht="12.75" customHeight="1" x14ac:dyDescent="0.2">
      <c r="A38" s="38" t="s">
        <v>16</v>
      </c>
      <c r="B38" s="46">
        <f t="shared" ref="B38:M38" si="3">SUM(B33:B36)</f>
        <v>8746</v>
      </c>
      <c r="C38" s="46">
        <f t="shared" si="3"/>
        <v>19436</v>
      </c>
      <c r="D38" s="46">
        <f t="shared" si="3"/>
        <v>8163</v>
      </c>
      <c r="E38" s="46">
        <f t="shared" si="3"/>
        <v>13469</v>
      </c>
      <c r="F38" s="46">
        <f t="shared" si="3"/>
        <v>3877</v>
      </c>
      <c r="G38" s="46">
        <f t="shared" si="3"/>
        <v>1115</v>
      </c>
      <c r="H38" s="46">
        <f t="shared" si="3"/>
        <v>652</v>
      </c>
      <c r="I38" s="46">
        <f t="shared" si="3"/>
        <v>10459</v>
      </c>
      <c r="J38" s="46">
        <f t="shared" si="3"/>
        <v>3769</v>
      </c>
      <c r="K38" s="46">
        <f t="shared" si="3"/>
        <v>2375</v>
      </c>
      <c r="L38" s="46">
        <f t="shared" si="3"/>
        <v>8277.4</v>
      </c>
      <c r="M38" s="46">
        <f t="shared" si="3"/>
        <v>6746.4</v>
      </c>
      <c r="N38" s="46">
        <f>SUM(B38:M38)</f>
        <v>87084.799999999988</v>
      </c>
      <c r="O38" s="46">
        <f>SUM(O33:O36)</f>
        <v>90039</v>
      </c>
      <c r="P38" s="47">
        <f>100*N38/O38</f>
        <v>96.718977332044986</v>
      </c>
    </row>
    <row r="39" spans="1:16" ht="12.75" customHeight="1" x14ac:dyDescent="0.2">
      <c r="B39" s="46"/>
      <c r="C39" s="46"/>
      <c r="D39" s="46"/>
      <c r="E39" s="46"/>
      <c r="F39" s="46"/>
      <c r="G39" s="46"/>
      <c r="H39" s="46"/>
      <c r="I39" s="46"/>
      <c r="J39" s="46"/>
      <c r="K39" s="46"/>
      <c r="L39" s="46"/>
      <c r="M39" s="46"/>
      <c r="N39" s="46"/>
      <c r="O39" s="46"/>
      <c r="P39" s="47"/>
    </row>
    <row r="40" spans="1:16" ht="12.75" customHeight="1" x14ac:dyDescent="0.2">
      <c r="A40" s="38" t="s">
        <v>21</v>
      </c>
      <c r="B40" s="46"/>
      <c r="C40" s="46"/>
      <c r="D40" s="46"/>
      <c r="E40" s="46"/>
      <c r="F40" s="46"/>
      <c r="G40" s="46"/>
      <c r="H40" s="46"/>
      <c r="I40" s="46"/>
      <c r="J40" s="46"/>
      <c r="K40" s="46"/>
      <c r="L40" s="46"/>
      <c r="M40" s="46"/>
      <c r="N40" s="46"/>
      <c r="O40" s="46"/>
      <c r="P40" s="47"/>
    </row>
    <row r="41" spans="1:16" ht="12.75" customHeight="1" x14ac:dyDescent="0.2">
      <c r="A41" s="38" t="s">
        <v>13</v>
      </c>
      <c r="B41" s="46">
        <v>7090</v>
      </c>
      <c r="C41" s="46">
        <v>0</v>
      </c>
      <c r="D41" s="46">
        <v>0</v>
      </c>
      <c r="E41" s="46">
        <v>0</v>
      </c>
      <c r="F41" s="46">
        <v>0</v>
      </c>
      <c r="G41" s="46">
        <v>0</v>
      </c>
      <c r="H41" s="46">
        <v>0</v>
      </c>
      <c r="I41" s="46">
        <v>0</v>
      </c>
      <c r="J41" s="46">
        <v>0</v>
      </c>
      <c r="K41" s="46">
        <v>0</v>
      </c>
      <c r="L41" s="46">
        <v>0</v>
      </c>
      <c r="M41" s="46">
        <v>0</v>
      </c>
      <c r="N41" s="46">
        <f>SUM(B41:M41)</f>
        <v>7090</v>
      </c>
      <c r="O41" s="46">
        <f>7090+111078</f>
        <v>118168</v>
      </c>
      <c r="P41" s="47">
        <f>100*N41/O41</f>
        <v>5.9999322997765896</v>
      </c>
    </row>
    <row r="42" spans="1:16" ht="12.75" customHeight="1" x14ac:dyDescent="0.2">
      <c r="A42" s="38" t="s">
        <v>14</v>
      </c>
      <c r="B42" s="46">
        <v>19</v>
      </c>
      <c r="C42" s="46">
        <v>333</v>
      </c>
      <c r="D42" s="46">
        <v>1450</v>
      </c>
      <c r="E42" s="46">
        <v>809</v>
      </c>
      <c r="F42" s="46">
        <v>1254</v>
      </c>
      <c r="G42" s="46">
        <v>711</v>
      </c>
      <c r="H42" s="46">
        <v>1348</v>
      </c>
      <c r="I42" s="46">
        <v>802</v>
      </c>
      <c r="J42" s="46">
        <v>535</v>
      </c>
      <c r="K42" s="46">
        <v>800</v>
      </c>
      <c r="L42" s="46">
        <v>894</v>
      </c>
      <c r="M42" s="46">
        <v>769</v>
      </c>
      <c r="N42" s="46">
        <f>SUM(B42:M42)</f>
        <v>9724</v>
      </c>
      <c r="O42" s="46">
        <f>10300+25000</f>
        <v>35300</v>
      </c>
      <c r="P42" s="47">
        <f>100*N42/O42</f>
        <v>27.546742209631727</v>
      </c>
    </row>
    <row r="43" spans="1:16" ht="12.75" customHeight="1" x14ac:dyDescent="0.2">
      <c r="A43" s="38" t="s">
        <v>15</v>
      </c>
      <c r="B43" s="46"/>
      <c r="C43" s="46"/>
      <c r="D43" s="46"/>
      <c r="E43" s="46"/>
      <c r="F43" s="46"/>
      <c r="G43" s="46"/>
      <c r="H43" s="46"/>
      <c r="I43" s="46"/>
      <c r="J43" s="46"/>
      <c r="K43" s="46"/>
      <c r="L43" s="46"/>
      <c r="M43" s="46"/>
      <c r="N43" s="46"/>
      <c r="O43" s="46"/>
      <c r="P43" s="47"/>
    </row>
    <row r="44" spans="1:16" ht="12.75" customHeight="1" x14ac:dyDescent="0.2">
      <c r="A44" s="38" t="s">
        <v>23</v>
      </c>
      <c r="B44" s="46">
        <v>1656</v>
      </c>
      <c r="C44" s="46">
        <v>22392</v>
      </c>
      <c r="D44" s="46">
        <v>5108</v>
      </c>
      <c r="E44" s="46">
        <v>11497</v>
      </c>
      <c r="F44" s="46">
        <v>5040</v>
      </c>
      <c r="G44" s="46">
        <v>0</v>
      </c>
      <c r="H44" s="46">
        <v>0</v>
      </c>
      <c r="I44" s="46">
        <v>16537</v>
      </c>
      <c r="J44" s="46">
        <v>0</v>
      </c>
      <c r="K44" s="46">
        <v>0</v>
      </c>
      <c r="L44" s="46">
        <v>25609</v>
      </c>
      <c r="M44" s="46">
        <v>0</v>
      </c>
      <c r="N44" s="46">
        <f>SUM(B44:M44)</f>
        <v>87839</v>
      </c>
      <c r="O44" s="46">
        <f>87839</f>
        <v>87839</v>
      </c>
      <c r="P44" s="47">
        <f>100*N44/O44</f>
        <v>100</v>
      </c>
    </row>
    <row r="45" spans="1:16" ht="12.75" customHeight="1" x14ac:dyDescent="0.2">
      <c r="B45" s="46"/>
      <c r="C45" s="46"/>
      <c r="D45" s="46"/>
      <c r="E45" s="46"/>
      <c r="F45" s="46"/>
      <c r="G45" s="46"/>
      <c r="H45" s="46"/>
      <c r="I45" s="46"/>
      <c r="J45" s="46"/>
      <c r="K45" s="46"/>
      <c r="L45" s="46"/>
      <c r="M45" s="46"/>
      <c r="N45" s="5"/>
      <c r="O45" s="46"/>
      <c r="P45" s="47"/>
    </row>
    <row r="46" spans="1:16" ht="12.75" customHeight="1" x14ac:dyDescent="0.2">
      <c r="A46" s="38" t="s">
        <v>16</v>
      </c>
      <c r="B46" s="46">
        <f t="shared" ref="B46:M46" si="4">SUM(B41:B44)</f>
        <v>8765</v>
      </c>
      <c r="C46" s="46">
        <f t="shared" si="4"/>
        <v>22725</v>
      </c>
      <c r="D46" s="46">
        <f t="shared" si="4"/>
        <v>6558</v>
      </c>
      <c r="E46" s="46">
        <f t="shared" si="4"/>
        <v>12306</v>
      </c>
      <c r="F46" s="46">
        <f t="shared" si="4"/>
        <v>6294</v>
      </c>
      <c r="G46" s="46">
        <f t="shared" si="4"/>
        <v>711</v>
      </c>
      <c r="H46" s="46">
        <f t="shared" si="4"/>
        <v>1348</v>
      </c>
      <c r="I46" s="46">
        <f t="shared" si="4"/>
        <v>17339</v>
      </c>
      <c r="J46" s="46">
        <f t="shared" si="4"/>
        <v>535</v>
      </c>
      <c r="K46" s="46">
        <f t="shared" si="4"/>
        <v>800</v>
      </c>
      <c r="L46" s="46">
        <f t="shared" si="4"/>
        <v>26503</v>
      </c>
      <c r="M46" s="46">
        <f t="shared" si="4"/>
        <v>769</v>
      </c>
      <c r="N46" s="46">
        <f>SUM(B46:M46)</f>
        <v>104653</v>
      </c>
      <c r="O46" s="46">
        <f>SUM(O41:O44)</f>
        <v>241307</v>
      </c>
      <c r="P46" s="47">
        <f>100*N46/O46</f>
        <v>43.369235040840088</v>
      </c>
    </row>
    <row r="47" spans="1:16" ht="12.75" customHeight="1" x14ac:dyDescent="0.2">
      <c r="B47" s="46"/>
      <c r="C47" s="46"/>
      <c r="D47" s="46"/>
      <c r="E47" s="46"/>
      <c r="F47" s="46"/>
      <c r="G47" s="46"/>
      <c r="H47" s="46"/>
      <c r="I47" s="46"/>
      <c r="J47" s="46"/>
      <c r="K47" s="46"/>
      <c r="L47" s="46"/>
      <c r="M47" s="46"/>
      <c r="N47" s="46"/>
      <c r="O47" s="46"/>
      <c r="P47" s="47"/>
    </row>
    <row r="48" spans="1:16" ht="12.75" customHeight="1" x14ac:dyDescent="0.2">
      <c r="A48" s="38" t="s">
        <v>73</v>
      </c>
      <c r="B48" s="46"/>
      <c r="C48" s="46"/>
      <c r="D48" s="46"/>
      <c r="E48" s="46"/>
      <c r="F48" s="46"/>
      <c r="G48" s="46"/>
      <c r="H48" s="46"/>
      <c r="I48" s="46"/>
      <c r="J48" s="46"/>
      <c r="K48" s="46"/>
      <c r="L48" s="46"/>
      <c r="M48" s="46"/>
      <c r="N48" s="46"/>
      <c r="O48" s="46"/>
      <c r="P48" s="47"/>
    </row>
    <row r="49" spans="1:16" ht="12.75" customHeight="1" x14ac:dyDescent="0.2">
      <c r="A49" s="38" t="s">
        <v>13</v>
      </c>
      <c r="B49" s="46">
        <f>8294+111078</f>
        <v>119372</v>
      </c>
      <c r="C49" s="46">
        <v>0</v>
      </c>
      <c r="D49" s="46">
        <v>0</v>
      </c>
      <c r="E49" s="46">
        <v>0</v>
      </c>
      <c r="F49" s="46">
        <v>0</v>
      </c>
      <c r="G49" s="46">
        <v>0</v>
      </c>
      <c r="H49" s="46">
        <v>0</v>
      </c>
      <c r="I49" s="46">
        <v>0</v>
      </c>
      <c r="J49" s="46">
        <v>0</v>
      </c>
      <c r="K49" s="46">
        <v>0</v>
      </c>
      <c r="L49" s="46">
        <v>0</v>
      </c>
      <c r="M49" s="46">
        <v>0</v>
      </c>
      <c r="N49" s="46">
        <f>SUM(B49:M49)</f>
        <v>119372</v>
      </c>
      <c r="O49" s="61" t="s">
        <v>71</v>
      </c>
      <c r="P49" s="61" t="s">
        <v>71</v>
      </c>
    </row>
    <row r="50" spans="1:16" ht="12.75" customHeight="1" x14ac:dyDescent="0.2">
      <c r="A50" s="38" t="s">
        <v>14</v>
      </c>
      <c r="B50" s="46">
        <f>0+425</f>
        <v>425</v>
      </c>
      <c r="C50" s="46">
        <f>0+17110</f>
        <v>17110</v>
      </c>
      <c r="D50" s="46">
        <v>1445</v>
      </c>
      <c r="E50" s="46">
        <v>5120</v>
      </c>
      <c r="F50" s="46">
        <v>885</v>
      </c>
      <c r="G50" s="46">
        <v>1088</v>
      </c>
      <c r="H50" s="46">
        <v>717</v>
      </c>
      <c r="I50" s="46">
        <v>550</v>
      </c>
      <c r="J50" s="46">
        <v>438</v>
      </c>
      <c r="K50" s="46">
        <v>1788</v>
      </c>
      <c r="L50" s="46">
        <v>0</v>
      </c>
      <c r="M50" s="46">
        <v>19</v>
      </c>
      <c r="N50" s="46">
        <f>SUM(B50:M50)</f>
        <v>29585</v>
      </c>
      <c r="O50" s="61" t="s">
        <v>71</v>
      </c>
      <c r="P50" s="61" t="s">
        <v>71</v>
      </c>
    </row>
    <row r="51" spans="1:16" ht="12.75" customHeight="1" x14ac:dyDescent="0.2">
      <c r="A51" s="38" t="s">
        <v>15</v>
      </c>
      <c r="B51" s="46"/>
      <c r="C51" s="46"/>
      <c r="D51" s="46"/>
      <c r="E51" s="46"/>
      <c r="F51" s="46"/>
      <c r="G51" s="46"/>
      <c r="H51" s="46"/>
      <c r="I51" s="46"/>
      <c r="J51" s="46"/>
      <c r="K51" s="46"/>
      <c r="L51" s="46"/>
      <c r="M51" s="46"/>
      <c r="N51" s="46"/>
      <c r="O51" s="61"/>
      <c r="P51" s="61"/>
    </row>
    <row r="52" spans="1:16" ht="12.75" customHeight="1" x14ac:dyDescent="0.2">
      <c r="A52" s="38" t="s">
        <v>23</v>
      </c>
      <c r="B52" s="46">
        <v>12452</v>
      </c>
      <c r="C52" s="46">
        <v>11933</v>
      </c>
      <c r="D52" s="46">
        <v>9558</v>
      </c>
      <c r="E52" s="46">
        <v>7181</v>
      </c>
      <c r="F52" s="46">
        <v>2158</v>
      </c>
      <c r="G52" s="46">
        <v>3139</v>
      </c>
      <c r="H52" s="46">
        <v>5000</v>
      </c>
      <c r="I52" s="46">
        <v>4440</v>
      </c>
      <c r="J52" s="46">
        <v>3780</v>
      </c>
      <c r="K52" s="46">
        <v>5637</v>
      </c>
      <c r="L52" s="46">
        <v>9980</v>
      </c>
      <c r="M52" s="46">
        <v>10549</v>
      </c>
      <c r="N52" s="46">
        <f>SUM(B52:M52)</f>
        <v>85807</v>
      </c>
      <c r="O52" s="46">
        <v>92374</v>
      </c>
      <c r="P52" s="47">
        <f>100*N52/O52</f>
        <v>92.890856734578989</v>
      </c>
    </row>
    <row r="53" spans="1:16" ht="12.75" customHeight="1" x14ac:dyDescent="0.2">
      <c r="B53" s="46"/>
      <c r="C53" s="46"/>
      <c r="D53" s="46"/>
      <c r="E53" s="46"/>
      <c r="F53" s="46"/>
      <c r="G53" s="46"/>
      <c r="H53" s="46"/>
      <c r="I53" s="46"/>
      <c r="J53" s="46"/>
      <c r="K53" s="46"/>
      <c r="L53" s="46"/>
      <c r="M53" s="46"/>
      <c r="N53" s="46"/>
      <c r="O53" s="46"/>
      <c r="P53" s="47"/>
    </row>
    <row r="54" spans="1:16" ht="12.75" customHeight="1" x14ac:dyDescent="0.2">
      <c r="A54" s="38" t="s">
        <v>16</v>
      </c>
      <c r="B54" s="46">
        <f t="shared" ref="B54:M54" si="5">SUM(B49:B52)</f>
        <v>132249</v>
      </c>
      <c r="C54" s="46">
        <f t="shared" si="5"/>
        <v>29043</v>
      </c>
      <c r="D54" s="46">
        <f t="shared" si="5"/>
        <v>11003</v>
      </c>
      <c r="E54" s="46">
        <f t="shared" si="5"/>
        <v>12301</v>
      </c>
      <c r="F54" s="46">
        <f t="shared" si="5"/>
        <v>3043</v>
      </c>
      <c r="G54" s="46">
        <f t="shared" si="5"/>
        <v>4227</v>
      </c>
      <c r="H54" s="46">
        <f t="shared" si="5"/>
        <v>5717</v>
      </c>
      <c r="I54" s="46">
        <f t="shared" si="5"/>
        <v>4990</v>
      </c>
      <c r="J54" s="46">
        <f t="shared" si="5"/>
        <v>4218</v>
      </c>
      <c r="K54" s="46">
        <f t="shared" si="5"/>
        <v>7425</v>
      </c>
      <c r="L54" s="46">
        <f t="shared" si="5"/>
        <v>9980</v>
      </c>
      <c r="M54" s="46">
        <f t="shared" si="5"/>
        <v>10568</v>
      </c>
      <c r="N54" s="46">
        <f>SUM(N49:N52)</f>
        <v>234764</v>
      </c>
      <c r="O54" s="61" t="s">
        <v>71</v>
      </c>
      <c r="P54" s="61" t="s">
        <v>71</v>
      </c>
    </row>
    <row r="55" spans="1:16" ht="12.75" customHeight="1" x14ac:dyDescent="0.2">
      <c r="B55" s="46"/>
      <c r="C55" s="46"/>
      <c r="D55" s="46"/>
      <c r="E55" s="46"/>
      <c r="F55" s="46"/>
      <c r="G55" s="46"/>
      <c r="H55" s="46"/>
      <c r="I55" s="46"/>
      <c r="J55" s="46"/>
      <c r="K55" s="46"/>
      <c r="L55" s="46"/>
      <c r="M55" s="46"/>
      <c r="N55" s="46"/>
      <c r="O55" s="46"/>
      <c r="P55" s="47"/>
    </row>
    <row r="56" spans="1:16" ht="12.75" customHeight="1" x14ac:dyDescent="0.2">
      <c r="A56" s="38" t="s">
        <v>22</v>
      </c>
      <c r="B56" s="46"/>
      <c r="C56" s="46"/>
      <c r="D56" s="46"/>
      <c r="E56" s="46"/>
      <c r="F56" s="46"/>
      <c r="G56" s="46"/>
      <c r="H56" s="46"/>
      <c r="I56" s="46"/>
      <c r="J56" s="46"/>
      <c r="K56" s="46"/>
      <c r="L56" s="46"/>
      <c r="M56" s="46"/>
      <c r="N56" s="46"/>
      <c r="O56" s="46"/>
      <c r="P56" s="47"/>
    </row>
    <row r="57" spans="1:16" ht="12.75" customHeight="1" x14ac:dyDescent="0.2">
      <c r="A57" s="38" t="s">
        <v>13</v>
      </c>
      <c r="B57" s="46">
        <v>8294</v>
      </c>
      <c r="C57" s="46">
        <v>0</v>
      </c>
      <c r="D57" s="46">
        <v>0</v>
      </c>
      <c r="E57" s="46">
        <v>0</v>
      </c>
      <c r="F57" s="46">
        <v>0</v>
      </c>
      <c r="G57" s="46">
        <v>0</v>
      </c>
      <c r="H57" s="46">
        <v>0</v>
      </c>
      <c r="I57" s="46">
        <v>0</v>
      </c>
      <c r="J57" s="46">
        <v>0</v>
      </c>
      <c r="K57" s="46">
        <v>0</v>
      </c>
      <c r="L57" s="46">
        <v>0</v>
      </c>
      <c r="M57" s="46">
        <v>0</v>
      </c>
      <c r="N57" s="46">
        <f>SUM(B57:M57)</f>
        <v>8294</v>
      </c>
      <c r="O57" s="46">
        <v>8294</v>
      </c>
      <c r="P57" s="47">
        <f>100*N57/O57</f>
        <v>100</v>
      </c>
    </row>
    <row r="58" spans="1:16" ht="12.75" customHeight="1" x14ac:dyDescent="0.2">
      <c r="A58" s="38" t="s">
        <v>14</v>
      </c>
      <c r="B58" s="46">
        <v>5125</v>
      </c>
      <c r="C58" s="46">
        <v>1465</v>
      </c>
      <c r="D58" s="46">
        <v>1633</v>
      </c>
      <c r="E58" s="46">
        <v>1647</v>
      </c>
      <c r="F58" s="46">
        <v>591</v>
      </c>
      <c r="G58" s="46">
        <v>228</v>
      </c>
      <c r="H58" s="46">
        <v>229</v>
      </c>
      <c r="I58" s="46">
        <v>152</v>
      </c>
      <c r="J58" s="46">
        <v>346</v>
      </c>
      <c r="K58" s="46">
        <v>408</v>
      </c>
      <c r="L58" s="46">
        <v>114</v>
      </c>
      <c r="M58" s="46">
        <v>76</v>
      </c>
      <c r="N58" s="46">
        <f>SUM(B58:M58)</f>
        <v>12014</v>
      </c>
      <c r="O58" s="46">
        <v>12050</v>
      </c>
      <c r="P58" s="47">
        <f>100*N58/O58</f>
        <v>99.701244813278009</v>
      </c>
    </row>
    <row r="59" spans="1:16" ht="12.75" customHeight="1" x14ac:dyDescent="0.2">
      <c r="A59" s="38" t="s">
        <v>15</v>
      </c>
      <c r="B59" s="46"/>
      <c r="C59" s="46"/>
      <c r="D59" s="46"/>
      <c r="E59" s="46"/>
      <c r="F59" s="46"/>
      <c r="G59" s="46"/>
      <c r="H59" s="46"/>
      <c r="I59" s="46"/>
      <c r="J59" s="46"/>
      <c r="K59" s="46"/>
      <c r="L59" s="46"/>
      <c r="M59" s="46"/>
      <c r="N59" s="46"/>
      <c r="O59" s="46"/>
      <c r="P59" s="47"/>
    </row>
    <row r="60" spans="1:16" ht="12.75" customHeight="1" x14ac:dyDescent="0.2">
      <c r="A60" s="38" t="s">
        <v>23</v>
      </c>
      <c r="B60" s="46">
        <v>1656</v>
      </c>
      <c r="C60" s="46">
        <v>30383</v>
      </c>
      <c r="D60" s="46">
        <v>4862</v>
      </c>
      <c r="E60" s="46">
        <v>15208</v>
      </c>
      <c r="F60" s="46">
        <v>3990</v>
      </c>
      <c r="G60" s="46">
        <v>805</v>
      </c>
      <c r="H60" s="46">
        <v>16003</v>
      </c>
      <c r="I60" s="46">
        <v>4000</v>
      </c>
      <c r="J60" s="46">
        <v>0</v>
      </c>
      <c r="K60" s="46">
        <v>18423</v>
      </c>
      <c r="L60" s="46">
        <v>1580</v>
      </c>
      <c r="M60" s="46">
        <v>0</v>
      </c>
      <c r="N60" s="46">
        <f>SUM(B60:M60)</f>
        <v>96910</v>
      </c>
      <c r="O60" s="46">
        <f>1656+95254</f>
        <v>96910</v>
      </c>
      <c r="P60" s="47">
        <f>100*N60/O60</f>
        <v>100</v>
      </c>
    </row>
    <row r="61" spans="1:16" ht="12.75" customHeight="1" x14ac:dyDescent="0.2">
      <c r="B61" s="46"/>
      <c r="C61" s="46"/>
      <c r="D61" s="46"/>
      <c r="E61" s="46"/>
      <c r="F61" s="46"/>
      <c r="G61" s="46"/>
      <c r="H61" s="46"/>
      <c r="I61" s="46"/>
      <c r="J61" s="46"/>
      <c r="K61" s="46"/>
      <c r="L61" s="46"/>
      <c r="M61" s="46"/>
      <c r="N61" s="46"/>
      <c r="O61" s="46"/>
      <c r="P61" s="47"/>
    </row>
    <row r="62" spans="1:16" ht="12.75" customHeight="1" x14ac:dyDescent="0.2">
      <c r="A62" s="38" t="s">
        <v>16</v>
      </c>
      <c r="B62" s="46">
        <f t="shared" ref="B62:M62" si="6">SUM(B57:B60)</f>
        <v>15075</v>
      </c>
      <c r="C62" s="46">
        <f t="shared" si="6"/>
        <v>31848</v>
      </c>
      <c r="D62" s="46">
        <f t="shared" si="6"/>
        <v>6495</v>
      </c>
      <c r="E62" s="46">
        <f t="shared" si="6"/>
        <v>16855</v>
      </c>
      <c r="F62" s="46">
        <f t="shared" si="6"/>
        <v>4581</v>
      </c>
      <c r="G62" s="46">
        <f t="shared" si="6"/>
        <v>1033</v>
      </c>
      <c r="H62" s="46">
        <f t="shared" si="6"/>
        <v>16232</v>
      </c>
      <c r="I62" s="46">
        <f t="shared" si="6"/>
        <v>4152</v>
      </c>
      <c r="J62" s="46">
        <f t="shared" si="6"/>
        <v>346</v>
      </c>
      <c r="K62" s="46">
        <f t="shared" si="6"/>
        <v>18831</v>
      </c>
      <c r="L62" s="46">
        <f t="shared" si="6"/>
        <v>1694</v>
      </c>
      <c r="M62" s="46">
        <f t="shared" si="6"/>
        <v>76</v>
      </c>
      <c r="N62" s="46">
        <f>SUM(B62:M62)</f>
        <v>117218</v>
      </c>
      <c r="O62" s="46">
        <f>SUM(O57:O60)</f>
        <v>117254</v>
      </c>
      <c r="P62" s="47">
        <f>100*N62/O62</f>
        <v>99.969297422689209</v>
      </c>
    </row>
    <row r="63" spans="1:16" ht="12.75" customHeight="1" x14ac:dyDescent="0.2">
      <c r="B63" s="46"/>
      <c r="C63" s="46"/>
      <c r="D63" s="46"/>
      <c r="E63" s="46"/>
      <c r="F63" s="46"/>
      <c r="G63" s="46"/>
      <c r="H63" s="46"/>
      <c r="I63" s="46"/>
      <c r="J63" s="46"/>
      <c r="K63" s="46"/>
      <c r="L63" s="46"/>
      <c r="M63" s="46"/>
      <c r="N63" s="46"/>
      <c r="O63" s="46"/>
      <c r="P63" s="47"/>
    </row>
    <row r="64" spans="1:16" ht="12.75" customHeight="1" x14ac:dyDescent="0.2">
      <c r="A64" s="38" t="s">
        <v>24</v>
      </c>
      <c r="B64" s="46"/>
      <c r="C64" s="46"/>
      <c r="D64" s="46"/>
      <c r="E64" s="46"/>
      <c r="F64" s="46"/>
      <c r="G64" s="46"/>
      <c r="H64" s="46"/>
      <c r="I64" s="46"/>
      <c r="J64" s="46"/>
      <c r="K64" s="46"/>
      <c r="L64" s="46"/>
      <c r="M64" s="46"/>
      <c r="N64" s="46"/>
      <c r="O64" s="46"/>
      <c r="P64" s="47"/>
    </row>
    <row r="65" spans="1:16" ht="12.75" customHeight="1" x14ac:dyDescent="0.2">
      <c r="A65" s="38" t="s">
        <v>13</v>
      </c>
      <c r="B65" s="46">
        <v>8294</v>
      </c>
      <c r="C65" s="46">
        <v>0</v>
      </c>
      <c r="D65" s="46">
        <v>0</v>
      </c>
      <c r="E65" s="46">
        <v>0</v>
      </c>
      <c r="F65" s="46">
        <v>0</v>
      </c>
      <c r="G65" s="46">
        <v>0</v>
      </c>
      <c r="H65" s="46">
        <v>0</v>
      </c>
      <c r="I65" s="46">
        <v>0</v>
      </c>
      <c r="J65" s="46">
        <v>0</v>
      </c>
      <c r="K65" s="46">
        <v>0</v>
      </c>
      <c r="L65" s="46">
        <v>0</v>
      </c>
      <c r="M65" s="46">
        <v>0</v>
      </c>
      <c r="N65" s="46">
        <f>SUM(B65:M65)</f>
        <v>8294</v>
      </c>
      <c r="O65" s="46">
        <v>8294</v>
      </c>
      <c r="P65" s="47">
        <f>100*N65/O65</f>
        <v>100</v>
      </c>
    </row>
    <row r="66" spans="1:16" ht="12.75" customHeight="1" x14ac:dyDescent="0.2">
      <c r="A66" s="38" t="s">
        <v>14</v>
      </c>
      <c r="B66" s="46">
        <v>19</v>
      </c>
      <c r="C66" s="46">
        <v>76</v>
      </c>
      <c r="D66" s="46">
        <v>941</v>
      </c>
      <c r="E66" s="46">
        <v>1360</v>
      </c>
      <c r="F66" s="46">
        <v>403</v>
      </c>
      <c r="G66" s="46">
        <v>1259</v>
      </c>
      <c r="H66" s="46">
        <v>1022</v>
      </c>
      <c r="I66" s="46">
        <v>1334</v>
      </c>
      <c r="J66" s="46">
        <v>2101</v>
      </c>
      <c r="K66" s="46">
        <v>1305</v>
      </c>
      <c r="L66" s="46">
        <v>1220</v>
      </c>
      <c r="M66" s="46">
        <v>1010</v>
      </c>
      <c r="N66" s="46">
        <f>SUM(B66:M66)</f>
        <v>12050</v>
      </c>
      <c r="O66" s="46">
        <v>12050</v>
      </c>
      <c r="P66" s="47">
        <f>100*N66/O66</f>
        <v>100</v>
      </c>
    </row>
    <row r="67" spans="1:16" ht="12.75" customHeight="1" x14ac:dyDescent="0.2">
      <c r="A67" s="38" t="s">
        <v>15</v>
      </c>
      <c r="B67" s="46"/>
      <c r="C67" s="46"/>
      <c r="D67" s="46"/>
      <c r="E67" s="46"/>
      <c r="F67" s="46"/>
      <c r="G67" s="46"/>
      <c r="H67" s="46"/>
      <c r="I67" s="46"/>
      <c r="J67" s="46"/>
      <c r="K67" s="46"/>
      <c r="L67" s="46"/>
      <c r="M67" s="46"/>
      <c r="N67" s="46"/>
      <c r="O67" s="46"/>
      <c r="P67" s="47"/>
    </row>
    <row r="68" spans="1:16" ht="12.75" customHeight="1" x14ac:dyDescent="0.2">
      <c r="A68" s="38" t="s">
        <v>23</v>
      </c>
      <c r="B68" s="46">
        <f>1656+31722</f>
        <v>33378</v>
      </c>
      <c r="C68" s="46">
        <v>5278</v>
      </c>
      <c r="D68" s="46">
        <v>0</v>
      </c>
      <c r="E68" s="46">
        <v>16639</v>
      </c>
      <c r="F68" s="46">
        <v>4361</v>
      </c>
      <c r="G68" s="46">
        <v>0</v>
      </c>
      <c r="H68" s="46">
        <v>20894</v>
      </c>
      <c r="I68" s="46">
        <v>106</v>
      </c>
      <c r="J68" s="46">
        <v>0</v>
      </c>
      <c r="K68" s="46">
        <v>21000</v>
      </c>
      <c r="L68" s="46">
        <v>0</v>
      </c>
      <c r="M68" s="46">
        <v>0</v>
      </c>
      <c r="N68" s="46">
        <f>SUM(B68:M68)</f>
        <v>101656</v>
      </c>
      <c r="O68" s="46">
        <f>1656+100000</f>
        <v>101656</v>
      </c>
      <c r="P68" s="47">
        <f>100*N68/O68</f>
        <v>100</v>
      </c>
    </row>
    <row r="69" spans="1:16" ht="12.75" customHeight="1" x14ac:dyDescent="0.2">
      <c r="B69" s="46"/>
      <c r="C69" s="46"/>
      <c r="D69" s="46"/>
      <c r="E69" s="46"/>
      <c r="F69" s="46"/>
      <c r="G69" s="46"/>
      <c r="H69" s="46"/>
      <c r="I69" s="46"/>
      <c r="J69" s="46"/>
      <c r="K69" s="46"/>
      <c r="L69" s="46"/>
      <c r="M69" s="46"/>
      <c r="N69" s="46"/>
      <c r="O69" s="46"/>
      <c r="P69" s="47"/>
    </row>
    <row r="70" spans="1:16" ht="12.75" customHeight="1" x14ac:dyDescent="0.2">
      <c r="A70" s="38" t="s">
        <v>16</v>
      </c>
      <c r="B70" s="46">
        <f t="shared" ref="B70:M70" si="7">SUM(B65:B68)</f>
        <v>41691</v>
      </c>
      <c r="C70" s="46">
        <f t="shared" si="7"/>
        <v>5354</v>
      </c>
      <c r="D70" s="46">
        <f t="shared" si="7"/>
        <v>941</v>
      </c>
      <c r="E70" s="46">
        <f t="shared" si="7"/>
        <v>17999</v>
      </c>
      <c r="F70" s="46">
        <f t="shared" si="7"/>
        <v>4764</v>
      </c>
      <c r="G70" s="46">
        <f t="shared" si="7"/>
        <v>1259</v>
      </c>
      <c r="H70" s="46">
        <f t="shared" si="7"/>
        <v>21916</v>
      </c>
      <c r="I70" s="46">
        <f t="shared" si="7"/>
        <v>1440</v>
      </c>
      <c r="J70" s="46">
        <f t="shared" si="7"/>
        <v>2101</v>
      </c>
      <c r="K70" s="46">
        <f t="shared" si="7"/>
        <v>22305</v>
      </c>
      <c r="L70" s="46">
        <f t="shared" si="7"/>
        <v>1220</v>
      </c>
      <c r="M70" s="46">
        <f t="shared" si="7"/>
        <v>1010</v>
      </c>
      <c r="N70" s="46">
        <f>SUM(B70:M70)</f>
        <v>122000</v>
      </c>
      <c r="O70" s="46">
        <f>SUM(O65:O68)</f>
        <v>122000</v>
      </c>
      <c r="P70" s="47">
        <f>100*N70/O70</f>
        <v>100</v>
      </c>
    </row>
    <row r="71" spans="1:16" ht="12.75" customHeight="1" x14ac:dyDescent="0.2">
      <c r="B71" s="46"/>
      <c r="C71" s="46"/>
      <c r="D71" s="46"/>
      <c r="E71" s="46"/>
      <c r="F71" s="46"/>
      <c r="G71" s="46"/>
      <c r="H71" s="46"/>
      <c r="I71" s="46"/>
      <c r="J71" s="46"/>
      <c r="K71" s="46"/>
      <c r="L71" s="46"/>
      <c r="M71" s="46"/>
      <c r="N71" s="46"/>
      <c r="O71" s="46"/>
      <c r="P71" s="47"/>
    </row>
    <row r="72" spans="1:16" ht="12.75" customHeight="1" x14ac:dyDescent="0.2">
      <c r="A72" s="38" t="s">
        <v>25</v>
      </c>
      <c r="B72" s="46"/>
      <c r="C72" s="46"/>
      <c r="D72" s="46"/>
      <c r="E72" s="46"/>
      <c r="F72" s="46"/>
      <c r="G72" s="46"/>
      <c r="H72" s="46"/>
      <c r="I72" s="46"/>
      <c r="J72" s="46"/>
      <c r="K72" s="46"/>
      <c r="L72" s="46"/>
      <c r="M72" s="46"/>
      <c r="N72" s="46"/>
      <c r="O72" s="46"/>
      <c r="P72" s="47"/>
    </row>
    <row r="73" spans="1:16" ht="12.75" customHeight="1" x14ac:dyDescent="0.2">
      <c r="A73" s="38" t="s">
        <v>13</v>
      </c>
      <c r="B73" s="46">
        <v>7090</v>
      </c>
      <c r="C73" s="46">
        <v>0</v>
      </c>
      <c r="D73" s="46">
        <v>0</v>
      </c>
      <c r="E73" s="46">
        <v>0</v>
      </c>
      <c r="F73" s="46">
        <v>0</v>
      </c>
      <c r="G73" s="46">
        <v>0</v>
      </c>
      <c r="H73" s="46">
        <v>0</v>
      </c>
      <c r="I73" s="46">
        <v>0</v>
      </c>
      <c r="J73" s="46">
        <v>0</v>
      </c>
      <c r="K73" s="46">
        <v>0</v>
      </c>
      <c r="L73" s="46">
        <v>0</v>
      </c>
      <c r="M73" s="46">
        <v>0</v>
      </c>
      <c r="N73" s="46">
        <f>SUM(B73:M73)</f>
        <v>7090</v>
      </c>
      <c r="O73" s="46">
        <v>8294</v>
      </c>
      <c r="P73" s="47">
        <f>100*N73/O73</f>
        <v>85.48348203520618</v>
      </c>
    </row>
    <row r="74" spans="1:16" ht="12.75" customHeight="1" x14ac:dyDescent="0.2">
      <c r="A74" s="38" t="s">
        <v>14</v>
      </c>
      <c r="B74" s="46">
        <v>0</v>
      </c>
      <c r="C74" s="46">
        <v>748</v>
      </c>
      <c r="D74" s="46">
        <v>504</v>
      </c>
      <c r="E74" s="46">
        <v>1018</v>
      </c>
      <c r="F74" s="46">
        <v>1138</v>
      </c>
      <c r="G74" s="46">
        <v>286</v>
      </c>
      <c r="H74" s="46">
        <v>712</v>
      </c>
      <c r="I74" s="46">
        <v>817</v>
      </c>
      <c r="J74" s="46">
        <v>402</v>
      </c>
      <c r="K74" s="46">
        <v>416</v>
      </c>
      <c r="L74" s="46">
        <v>1099</v>
      </c>
      <c r="M74" s="46">
        <v>1396</v>
      </c>
      <c r="N74" s="46">
        <f>SUM(B74:M74)</f>
        <v>8536</v>
      </c>
      <c r="O74" s="46">
        <v>12050</v>
      </c>
      <c r="P74" s="47">
        <f>100*N74/O74</f>
        <v>70.838174273858925</v>
      </c>
    </row>
    <row r="75" spans="1:16" ht="12.75" customHeight="1" x14ac:dyDescent="0.2">
      <c r="A75" s="38" t="s">
        <v>15</v>
      </c>
      <c r="B75" s="46"/>
      <c r="C75" s="46"/>
      <c r="D75" s="46"/>
      <c r="E75" s="46"/>
      <c r="F75" s="46"/>
      <c r="G75" s="46"/>
      <c r="H75" s="46"/>
      <c r="I75" s="46"/>
      <c r="J75" s="46"/>
      <c r="K75" s="46"/>
      <c r="L75" s="46"/>
      <c r="M75" s="46"/>
      <c r="N75" s="46"/>
      <c r="O75" s="46"/>
      <c r="P75" s="47"/>
    </row>
    <row r="76" spans="1:16" ht="12.75" customHeight="1" x14ac:dyDescent="0.2">
      <c r="A76" s="38" t="s">
        <v>23</v>
      </c>
      <c r="B76" s="46">
        <v>40506</v>
      </c>
      <c r="C76" s="46">
        <v>0</v>
      </c>
      <c r="D76" s="46">
        <v>0</v>
      </c>
      <c r="E76" s="46">
        <v>22050</v>
      </c>
      <c r="F76" s="46">
        <v>0</v>
      </c>
      <c r="G76" s="46">
        <v>0</v>
      </c>
      <c r="H76" s="46">
        <v>22050</v>
      </c>
      <c r="I76" s="46">
        <v>0</v>
      </c>
      <c r="J76" s="46">
        <v>0</v>
      </c>
      <c r="K76" s="46">
        <v>42050</v>
      </c>
      <c r="L76" s="46">
        <v>0</v>
      </c>
      <c r="M76" s="46">
        <v>0</v>
      </c>
      <c r="N76" s="46">
        <f>SUM(B76:M76)</f>
        <v>126656</v>
      </c>
      <c r="O76" s="46">
        <f>1656+100000</f>
        <v>101656</v>
      </c>
      <c r="P76" s="47">
        <f>100*N76/O76</f>
        <v>124.59274415676398</v>
      </c>
    </row>
    <row r="77" spans="1:16" ht="12.75" customHeight="1" x14ac:dyDescent="0.2">
      <c r="B77" s="46"/>
      <c r="C77" s="46"/>
      <c r="D77" s="46"/>
      <c r="E77" s="46"/>
      <c r="F77" s="46"/>
      <c r="G77" s="46"/>
      <c r="H77" s="46"/>
      <c r="I77" s="46"/>
      <c r="J77" s="46"/>
      <c r="K77" s="46"/>
      <c r="L77" s="46"/>
      <c r="M77" s="46"/>
      <c r="N77" s="46"/>
      <c r="O77" s="46"/>
      <c r="P77" s="47"/>
    </row>
    <row r="78" spans="1:16" ht="12.75" customHeight="1" x14ac:dyDescent="0.2">
      <c r="A78" s="38" t="s">
        <v>16</v>
      </c>
      <c r="B78" s="46">
        <f t="shared" ref="B78:M78" si="8">SUM(B73:B76)</f>
        <v>47596</v>
      </c>
      <c r="C78" s="46">
        <f t="shared" si="8"/>
        <v>748</v>
      </c>
      <c r="D78" s="46">
        <f t="shared" si="8"/>
        <v>504</v>
      </c>
      <c r="E78" s="46">
        <f t="shared" si="8"/>
        <v>23068</v>
      </c>
      <c r="F78" s="46">
        <f t="shared" si="8"/>
        <v>1138</v>
      </c>
      <c r="G78" s="46">
        <f t="shared" si="8"/>
        <v>286</v>
      </c>
      <c r="H78" s="46">
        <f t="shared" si="8"/>
        <v>22762</v>
      </c>
      <c r="I78" s="46">
        <f t="shared" si="8"/>
        <v>817</v>
      </c>
      <c r="J78" s="46">
        <f t="shared" si="8"/>
        <v>402</v>
      </c>
      <c r="K78" s="46">
        <f t="shared" si="8"/>
        <v>42466</v>
      </c>
      <c r="L78" s="46">
        <f t="shared" si="8"/>
        <v>1099</v>
      </c>
      <c r="M78" s="46">
        <f t="shared" si="8"/>
        <v>1396</v>
      </c>
      <c r="N78" s="46">
        <f>SUM(B78:M78)</f>
        <v>142282</v>
      </c>
      <c r="O78" s="46">
        <f>SUM(O73:O76)</f>
        <v>122000</v>
      </c>
      <c r="P78" s="47">
        <f>100*N78/O78</f>
        <v>116.62459016393443</v>
      </c>
    </row>
    <row r="79" spans="1:16" ht="12.75" customHeight="1" x14ac:dyDescent="0.2">
      <c r="B79" s="46"/>
      <c r="C79" s="46"/>
      <c r="D79" s="46"/>
      <c r="E79" s="46"/>
      <c r="F79" s="46"/>
      <c r="G79" s="46"/>
      <c r="H79" s="46"/>
      <c r="I79" s="46"/>
      <c r="J79" s="46"/>
      <c r="K79" s="46"/>
      <c r="L79" s="46"/>
      <c r="M79" s="46"/>
      <c r="N79" s="46"/>
      <c r="O79" s="46"/>
      <c r="P79" s="47"/>
    </row>
    <row r="80" spans="1:16" ht="12.75" customHeight="1" x14ac:dyDescent="0.2">
      <c r="A80" s="38" t="s">
        <v>26</v>
      </c>
      <c r="B80" s="46"/>
      <c r="C80" s="46"/>
      <c r="D80" s="46"/>
      <c r="E80" s="46"/>
      <c r="F80" s="46"/>
      <c r="G80" s="46"/>
      <c r="H80" s="46"/>
      <c r="I80" s="46"/>
      <c r="J80" s="46"/>
      <c r="K80" s="46"/>
      <c r="L80" s="46"/>
      <c r="M80" s="46"/>
      <c r="N80" s="46"/>
      <c r="O80" s="46"/>
      <c r="P80" s="47"/>
    </row>
    <row r="81" spans="1:16" ht="12.75" customHeight="1" x14ac:dyDescent="0.2">
      <c r="A81" s="38" t="s">
        <v>13</v>
      </c>
      <c r="B81" s="46">
        <v>7090</v>
      </c>
      <c r="C81" s="46">
        <v>0</v>
      </c>
      <c r="D81" s="46">
        <v>0</v>
      </c>
      <c r="E81" s="46">
        <v>0</v>
      </c>
      <c r="F81" s="46">
        <v>0</v>
      </c>
      <c r="G81" s="46">
        <v>0</v>
      </c>
      <c r="H81" s="46">
        <v>0</v>
      </c>
      <c r="I81" s="46">
        <v>0</v>
      </c>
      <c r="J81" s="46">
        <v>0</v>
      </c>
      <c r="K81" s="46">
        <v>0</v>
      </c>
      <c r="L81" s="46">
        <v>0</v>
      </c>
      <c r="M81" s="46">
        <v>0</v>
      </c>
      <c r="N81" s="46">
        <f>SUM(B81:M81)</f>
        <v>7090</v>
      </c>
      <c r="O81" s="46">
        <v>7090</v>
      </c>
      <c r="P81" s="47">
        <f>100*N81/O81</f>
        <v>100</v>
      </c>
    </row>
    <row r="82" spans="1:16" ht="12.75" customHeight="1" x14ac:dyDescent="0.2">
      <c r="A82" s="38" t="s">
        <v>14</v>
      </c>
      <c r="B82" s="46">
        <v>4769</v>
      </c>
      <c r="C82" s="46">
        <v>0</v>
      </c>
      <c r="D82" s="46">
        <v>432</v>
      </c>
      <c r="E82" s="46">
        <v>1378</v>
      </c>
      <c r="F82" s="46">
        <v>860</v>
      </c>
      <c r="G82" s="46">
        <v>235</v>
      </c>
      <c r="H82" s="46">
        <v>126</v>
      </c>
      <c r="I82" s="46">
        <v>238</v>
      </c>
      <c r="J82" s="46">
        <v>677</v>
      </c>
      <c r="K82" s="46">
        <v>707</v>
      </c>
      <c r="L82" s="46">
        <v>0</v>
      </c>
      <c r="M82" s="46">
        <v>0</v>
      </c>
      <c r="N82" s="46">
        <f>SUM(B82:M82)</f>
        <v>9422</v>
      </c>
      <c r="O82" s="46">
        <v>10300</v>
      </c>
      <c r="P82" s="47">
        <f>100*N82/O82</f>
        <v>91.475728155339809</v>
      </c>
    </row>
    <row r="83" spans="1:16" ht="12.75" customHeight="1" x14ac:dyDescent="0.2">
      <c r="A83" s="38" t="s">
        <v>15</v>
      </c>
      <c r="B83" s="46"/>
      <c r="C83" s="46"/>
      <c r="D83" s="46"/>
      <c r="E83" s="46"/>
      <c r="F83" s="46"/>
      <c r="G83" s="46"/>
      <c r="H83" s="46"/>
      <c r="I83" s="46"/>
      <c r="J83" s="46"/>
      <c r="K83" s="46"/>
      <c r="L83" s="46"/>
      <c r="M83" s="46"/>
      <c r="N83" s="46"/>
      <c r="O83" s="46">
        <v>2954</v>
      </c>
      <c r="P83" s="47"/>
    </row>
    <row r="84" spans="1:16" ht="12.75" customHeight="1" x14ac:dyDescent="0.2">
      <c r="A84" s="38" t="s">
        <v>23</v>
      </c>
      <c r="B84" s="46">
        <v>1883</v>
      </c>
      <c r="C84" s="46">
        <v>27273</v>
      </c>
      <c r="D84" s="46">
        <v>0</v>
      </c>
      <c r="E84" s="46">
        <v>27058</v>
      </c>
      <c r="F84" s="46">
        <v>442</v>
      </c>
      <c r="G84" s="46">
        <v>0</v>
      </c>
      <c r="H84" s="46">
        <v>27500</v>
      </c>
      <c r="I84" s="46">
        <v>20000</v>
      </c>
      <c r="J84" s="46">
        <v>0</v>
      </c>
      <c r="K84" s="46">
        <v>27500</v>
      </c>
      <c r="L84" s="46">
        <v>0</v>
      </c>
      <c r="M84" s="46">
        <v>0</v>
      </c>
      <c r="N84" s="46">
        <f>SUM(B84:M84)</f>
        <v>131656</v>
      </c>
      <c r="O84" s="46">
        <f>1656+130000</f>
        <v>131656</v>
      </c>
      <c r="P84" s="47">
        <f>100*N84/O84</f>
        <v>100</v>
      </c>
    </row>
    <row r="85" spans="1:16" ht="12.75" customHeight="1" x14ac:dyDescent="0.2">
      <c r="B85" s="46"/>
      <c r="C85" s="46"/>
      <c r="D85" s="46"/>
      <c r="E85" s="46"/>
      <c r="F85" s="46"/>
      <c r="G85" s="46"/>
      <c r="H85" s="46"/>
      <c r="I85" s="46"/>
      <c r="J85" s="46"/>
      <c r="K85" s="46"/>
      <c r="L85" s="46"/>
      <c r="M85" s="46"/>
      <c r="N85" s="46"/>
      <c r="O85" s="46"/>
      <c r="P85" s="47"/>
    </row>
    <row r="86" spans="1:16" ht="12.75" customHeight="1" x14ac:dyDescent="0.2">
      <c r="A86" s="38" t="s">
        <v>16</v>
      </c>
      <c r="B86" s="46">
        <f t="shared" ref="B86:M86" si="9">SUM(B81:B84)</f>
        <v>13742</v>
      </c>
      <c r="C86" s="46">
        <f t="shared" si="9"/>
        <v>27273</v>
      </c>
      <c r="D86" s="46">
        <f t="shared" si="9"/>
        <v>432</v>
      </c>
      <c r="E86" s="46">
        <f t="shared" si="9"/>
        <v>28436</v>
      </c>
      <c r="F86" s="46">
        <f t="shared" si="9"/>
        <v>1302</v>
      </c>
      <c r="G86" s="46">
        <f t="shared" si="9"/>
        <v>235</v>
      </c>
      <c r="H86" s="46">
        <f t="shared" si="9"/>
        <v>27626</v>
      </c>
      <c r="I86" s="46">
        <f t="shared" si="9"/>
        <v>20238</v>
      </c>
      <c r="J86" s="46">
        <f t="shared" si="9"/>
        <v>677</v>
      </c>
      <c r="K86" s="46">
        <f t="shared" si="9"/>
        <v>28207</v>
      </c>
      <c r="L86" s="46">
        <f>SUM(L81:L84)</f>
        <v>0</v>
      </c>
      <c r="M86" s="46">
        <f t="shared" si="9"/>
        <v>0</v>
      </c>
      <c r="N86" s="46">
        <f>SUM(B86:M86)</f>
        <v>148168</v>
      </c>
      <c r="O86" s="46">
        <f>SUM(O81:O84)</f>
        <v>152000</v>
      </c>
      <c r="P86" s="47">
        <f>100*N86/O86</f>
        <v>97.478947368421046</v>
      </c>
    </row>
    <row r="87" spans="1:16" ht="12.75" customHeight="1" x14ac:dyDescent="0.2">
      <c r="B87" s="46"/>
      <c r="C87" s="46"/>
      <c r="D87" s="46"/>
      <c r="E87" s="46"/>
      <c r="F87" s="46"/>
      <c r="G87" s="46"/>
      <c r="H87" s="46"/>
      <c r="I87" s="46"/>
      <c r="J87" s="46"/>
      <c r="K87" s="46"/>
      <c r="L87" s="46"/>
      <c r="M87" s="46"/>
      <c r="N87" s="46"/>
      <c r="O87" s="46"/>
      <c r="P87" s="47"/>
    </row>
    <row r="88" spans="1:16" ht="12.75" customHeight="1" x14ac:dyDescent="0.2">
      <c r="A88" s="38" t="s">
        <v>27</v>
      </c>
      <c r="B88" s="46"/>
      <c r="C88" s="46"/>
      <c r="D88" s="46"/>
      <c r="E88" s="46"/>
      <c r="F88" s="46"/>
      <c r="G88" s="46"/>
      <c r="H88" s="46"/>
      <c r="I88" s="46"/>
      <c r="J88" s="46"/>
      <c r="K88" s="46"/>
      <c r="L88" s="46"/>
      <c r="M88" s="46"/>
      <c r="N88" s="46"/>
      <c r="O88" s="46"/>
      <c r="P88" s="47"/>
    </row>
    <row r="89" spans="1:16" ht="12.75" customHeight="1" x14ac:dyDescent="0.2">
      <c r="A89" s="38" t="s">
        <v>13</v>
      </c>
      <c r="B89" s="46">
        <v>7090</v>
      </c>
      <c r="C89" s="46">
        <v>0</v>
      </c>
      <c r="D89" s="46">
        <v>0</v>
      </c>
      <c r="E89" s="46">
        <v>0</v>
      </c>
      <c r="F89" s="46">
        <v>0</v>
      </c>
      <c r="G89" s="46">
        <v>0</v>
      </c>
      <c r="H89" s="46">
        <v>0</v>
      </c>
      <c r="I89" s="46">
        <v>0</v>
      </c>
      <c r="J89" s="46">
        <v>0</v>
      </c>
      <c r="K89" s="46">
        <v>0</v>
      </c>
      <c r="L89" s="46">
        <v>0</v>
      </c>
      <c r="M89" s="46">
        <v>0</v>
      </c>
      <c r="N89" s="46">
        <f>SUM(B89:M89)</f>
        <v>7090</v>
      </c>
      <c r="O89" s="46">
        <v>7090</v>
      </c>
      <c r="P89" s="47">
        <f>100*N89/O89</f>
        <v>100</v>
      </c>
    </row>
    <row r="90" spans="1:16" ht="12.75" customHeight="1" x14ac:dyDescent="0.2">
      <c r="A90" s="38" t="s">
        <v>14</v>
      </c>
      <c r="B90" s="46">
        <v>0</v>
      </c>
      <c r="C90" s="46">
        <v>1354</v>
      </c>
      <c r="D90" s="46">
        <v>2925</v>
      </c>
      <c r="E90" s="46">
        <v>1046</v>
      </c>
      <c r="F90" s="46">
        <v>624</v>
      </c>
      <c r="G90" s="46">
        <v>2779</v>
      </c>
      <c r="H90" s="46">
        <v>917</v>
      </c>
      <c r="I90" s="46">
        <v>245</v>
      </c>
      <c r="J90" s="46">
        <v>410</v>
      </c>
      <c r="K90" s="46">
        <v>0</v>
      </c>
      <c r="L90" s="46">
        <v>0</v>
      </c>
      <c r="M90" s="46">
        <v>0</v>
      </c>
      <c r="N90" s="46">
        <f>SUM(B90:M90)</f>
        <v>10300</v>
      </c>
      <c r="O90" s="46">
        <v>10300</v>
      </c>
      <c r="P90" s="47">
        <f>100*N90/O90</f>
        <v>100</v>
      </c>
    </row>
    <row r="91" spans="1:16" ht="12.75" customHeight="1" x14ac:dyDescent="0.2">
      <c r="A91" s="38" t="s">
        <v>15</v>
      </c>
      <c r="B91" s="46"/>
      <c r="C91" s="46"/>
      <c r="D91" s="46"/>
      <c r="E91" s="46"/>
      <c r="F91" s="46"/>
      <c r="G91" s="46"/>
      <c r="H91" s="46"/>
      <c r="I91" s="46"/>
      <c r="J91" s="46"/>
      <c r="K91" s="46"/>
      <c r="L91" s="46"/>
      <c r="M91" s="46"/>
      <c r="N91" s="46">
        <v>0</v>
      </c>
      <c r="O91" s="46">
        <v>2954</v>
      </c>
      <c r="P91" s="47">
        <f>100*N91/O91</f>
        <v>0</v>
      </c>
    </row>
    <row r="92" spans="1:16" ht="12.75" customHeight="1" x14ac:dyDescent="0.2">
      <c r="A92" s="38" t="s">
        <v>23</v>
      </c>
      <c r="B92" s="46">
        <v>1641</v>
      </c>
      <c r="C92" s="46">
        <v>40000</v>
      </c>
      <c r="D92" s="46">
        <v>0</v>
      </c>
      <c r="E92" s="46">
        <v>40000</v>
      </c>
      <c r="F92" s="46">
        <v>0</v>
      </c>
      <c r="G92" s="46">
        <v>40000</v>
      </c>
      <c r="H92" s="46">
        <v>30000</v>
      </c>
      <c r="I92" s="46">
        <v>0</v>
      </c>
      <c r="J92" s="46">
        <v>0</v>
      </c>
      <c r="K92" s="46">
        <v>30000</v>
      </c>
      <c r="L92" s="46">
        <v>0</v>
      </c>
      <c r="M92" s="46">
        <v>0</v>
      </c>
      <c r="N92" s="46">
        <f>SUM(B92:M92)</f>
        <v>181641</v>
      </c>
      <c r="O92" s="46">
        <v>181656</v>
      </c>
      <c r="P92" s="47">
        <f>100*N92/O92</f>
        <v>99.991742634429912</v>
      </c>
    </row>
    <row r="93" spans="1:16" ht="12.75" customHeight="1" x14ac:dyDescent="0.2">
      <c r="B93" s="46"/>
      <c r="C93" s="46"/>
      <c r="D93" s="46"/>
      <c r="E93" s="46"/>
      <c r="F93" s="46"/>
      <c r="G93" s="46"/>
      <c r="H93" s="46"/>
      <c r="I93" s="46"/>
      <c r="J93" s="46"/>
      <c r="K93" s="46"/>
      <c r="L93" s="46"/>
      <c r="M93" s="46"/>
      <c r="N93" s="46"/>
      <c r="O93" s="46"/>
      <c r="P93" s="47"/>
    </row>
    <row r="94" spans="1:16" ht="12.75" customHeight="1" x14ac:dyDescent="0.2">
      <c r="A94" s="38" t="s">
        <v>16</v>
      </c>
      <c r="B94" s="46">
        <f t="shared" ref="B94:M94" si="10">SUM(B89:B92)</f>
        <v>8731</v>
      </c>
      <c r="C94" s="46">
        <f t="shared" si="10"/>
        <v>41354</v>
      </c>
      <c r="D94" s="46">
        <f t="shared" si="10"/>
        <v>2925</v>
      </c>
      <c r="E94" s="46">
        <f t="shared" si="10"/>
        <v>41046</v>
      </c>
      <c r="F94" s="46">
        <f t="shared" si="10"/>
        <v>624</v>
      </c>
      <c r="G94" s="46">
        <f t="shared" si="10"/>
        <v>42779</v>
      </c>
      <c r="H94" s="46">
        <f t="shared" si="10"/>
        <v>30917</v>
      </c>
      <c r="I94" s="46">
        <f t="shared" si="10"/>
        <v>245</v>
      </c>
      <c r="J94" s="46">
        <f t="shared" si="10"/>
        <v>410</v>
      </c>
      <c r="K94" s="46">
        <f t="shared" si="10"/>
        <v>30000</v>
      </c>
      <c r="L94" s="46">
        <f t="shared" si="10"/>
        <v>0</v>
      </c>
      <c r="M94" s="46">
        <f t="shared" si="10"/>
        <v>0</v>
      </c>
      <c r="N94" s="46">
        <f>SUM(B94:M94)</f>
        <v>199031</v>
      </c>
      <c r="O94" s="46">
        <f>SUM(O89:O92)</f>
        <v>202000</v>
      </c>
      <c r="P94" s="47">
        <f>100*N94/O94</f>
        <v>98.530198019801986</v>
      </c>
    </row>
    <row r="95" spans="1:16" ht="12.75" customHeight="1" x14ac:dyDescent="0.2">
      <c r="B95" s="46"/>
      <c r="C95" s="46"/>
      <c r="D95" s="46"/>
      <c r="E95" s="46"/>
      <c r="F95" s="46"/>
      <c r="G95" s="46"/>
      <c r="H95" s="46"/>
      <c r="I95" s="46"/>
      <c r="J95" s="46"/>
      <c r="K95" s="46"/>
      <c r="L95" s="46"/>
      <c r="M95" s="46"/>
      <c r="N95" s="46"/>
      <c r="O95" s="46"/>
      <c r="P95" s="47"/>
    </row>
    <row r="96" spans="1:16" ht="12.75" customHeight="1" x14ac:dyDescent="0.2">
      <c r="A96" s="38" t="s">
        <v>28</v>
      </c>
      <c r="B96" s="46"/>
      <c r="C96" s="46"/>
      <c r="D96" s="46"/>
      <c r="E96" s="46"/>
      <c r="F96" s="46"/>
      <c r="G96" s="46"/>
      <c r="H96" s="46"/>
      <c r="I96" s="46"/>
      <c r="J96" s="46"/>
      <c r="K96" s="46"/>
      <c r="L96" s="46"/>
      <c r="M96" s="46"/>
      <c r="N96" s="46"/>
      <c r="O96" s="46"/>
      <c r="P96" s="47"/>
    </row>
    <row r="97" spans="1:16" ht="12.75" customHeight="1" x14ac:dyDescent="0.2">
      <c r="A97" s="38" t="s">
        <v>13</v>
      </c>
      <c r="B97" s="46">
        <v>7090</v>
      </c>
      <c r="C97" s="46">
        <v>0</v>
      </c>
      <c r="D97" s="46">
        <v>0</v>
      </c>
      <c r="E97" s="46">
        <v>0</v>
      </c>
      <c r="F97" s="46">
        <v>0</v>
      </c>
      <c r="G97" s="46">
        <v>0</v>
      </c>
      <c r="H97" s="46">
        <v>0</v>
      </c>
      <c r="I97" s="46">
        <v>0</v>
      </c>
      <c r="J97" s="46">
        <v>0</v>
      </c>
      <c r="K97" s="46">
        <v>0</v>
      </c>
      <c r="L97" s="46">
        <v>0</v>
      </c>
      <c r="M97" s="46">
        <v>0</v>
      </c>
      <c r="N97" s="46">
        <f>SUM(B97:M97)</f>
        <v>7090</v>
      </c>
      <c r="O97" s="46">
        <v>7090</v>
      </c>
      <c r="P97" s="47">
        <f>100*N97/O97</f>
        <v>100</v>
      </c>
    </row>
    <row r="98" spans="1:16" ht="12.75" customHeight="1" x14ac:dyDescent="0.2">
      <c r="A98" s="38" t="s">
        <v>14</v>
      </c>
      <c r="B98" s="46">
        <v>411</v>
      </c>
      <c r="C98" s="46">
        <v>1232</v>
      </c>
      <c r="D98" s="46">
        <v>1885</v>
      </c>
      <c r="E98" s="46">
        <v>1286</v>
      </c>
      <c r="F98" s="46">
        <v>1942</v>
      </c>
      <c r="G98" s="46">
        <v>1847</v>
      </c>
      <c r="H98" s="46">
        <v>545</v>
      </c>
      <c r="I98" s="46">
        <v>468</v>
      </c>
      <c r="J98" s="46">
        <v>514</v>
      </c>
      <c r="K98" s="46">
        <v>0</v>
      </c>
      <c r="L98" s="46">
        <v>109</v>
      </c>
      <c r="M98" s="46">
        <v>39</v>
      </c>
      <c r="N98" s="46">
        <f>SUM(B98:M98)</f>
        <v>10278</v>
      </c>
      <c r="O98" s="46">
        <v>10300</v>
      </c>
      <c r="P98" s="47">
        <f>100*N98/O98</f>
        <v>99.786407766990294</v>
      </c>
    </row>
    <row r="99" spans="1:16" ht="12.75" customHeight="1" x14ac:dyDescent="0.2">
      <c r="A99" s="38" t="s">
        <v>15</v>
      </c>
      <c r="B99" s="46"/>
      <c r="C99" s="46"/>
      <c r="D99" s="46"/>
      <c r="E99" s="46"/>
      <c r="F99" s="46"/>
      <c r="G99" s="46"/>
      <c r="H99" s="46"/>
      <c r="I99" s="46"/>
      <c r="J99" s="46"/>
      <c r="K99" s="46"/>
      <c r="L99" s="46"/>
      <c r="M99" s="46"/>
      <c r="N99" s="46">
        <v>0</v>
      </c>
      <c r="O99" s="46">
        <v>2954</v>
      </c>
      <c r="P99" s="47">
        <f>100*N99/O99</f>
        <v>0</v>
      </c>
    </row>
    <row r="100" spans="1:16" ht="12.75" customHeight="1" x14ac:dyDescent="0.2">
      <c r="A100" s="38" t="s">
        <v>23</v>
      </c>
      <c r="B100" s="46">
        <v>49656</v>
      </c>
      <c r="C100" s="46">
        <v>0</v>
      </c>
      <c r="D100" s="46">
        <v>0</v>
      </c>
      <c r="E100" s="46">
        <v>47548</v>
      </c>
      <c r="F100" s="46">
        <v>0</v>
      </c>
      <c r="G100" s="46">
        <v>0</v>
      </c>
      <c r="H100" s="49">
        <v>25662</v>
      </c>
      <c r="I100" s="46">
        <v>0</v>
      </c>
      <c r="J100" s="46">
        <v>0</v>
      </c>
      <c r="K100" s="46">
        <v>32000</v>
      </c>
      <c r="L100" s="46">
        <v>0</v>
      </c>
      <c r="M100" s="46">
        <v>0</v>
      </c>
      <c r="N100" s="46">
        <f>SUM(B100:M100)</f>
        <v>154866</v>
      </c>
      <c r="O100" s="46">
        <v>161656</v>
      </c>
      <c r="P100" s="47">
        <f>100*N100/O100</f>
        <v>95.799722868312955</v>
      </c>
    </row>
    <row r="101" spans="1:16" ht="12.75" customHeight="1" x14ac:dyDescent="0.2">
      <c r="B101" s="46"/>
      <c r="C101" s="46"/>
      <c r="D101" s="46"/>
      <c r="E101" s="46"/>
      <c r="F101" s="46"/>
      <c r="G101" s="46"/>
      <c r="H101" s="46"/>
      <c r="I101" s="46"/>
      <c r="J101" s="46"/>
      <c r="K101" s="46"/>
      <c r="L101" s="46"/>
      <c r="M101" s="46"/>
      <c r="N101" s="46"/>
      <c r="O101" s="46"/>
      <c r="P101" s="47"/>
    </row>
    <row r="102" spans="1:16" ht="12.75" customHeight="1" x14ac:dyDescent="0.2">
      <c r="A102" s="38" t="s">
        <v>16</v>
      </c>
      <c r="B102" s="46">
        <f t="shared" ref="B102:M102" si="11">SUM(B97:B100)</f>
        <v>57157</v>
      </c>
      <c r="C102" s="46">
        <f t="shared" si="11"/>
        <v>1232</v>
      </c>
      <c r="D102" s="46">
        <f t="shared" si="11"/>
        <v>1885</v>
      </c>
      <c r="E102" s="46">
        <f t="shared" si="11"/>
        <v>48834</v>
      </c>
      <c r="F102" s="46">
        <f t="shared" si="11"/>
        <v>1942</v>
      </c>
      <c r="G102" s="46">
        <f t="shared" si="11"/>
        <v>1847</v>
      </c>
      <c r="H102" s="46">
        <f t="shared" si="11"/>
        <v>26207</v>
      </c>
      <c r="I102" s="46">
        <f t="shared" si="11"/>
        <v>468</v>
      </c>
      <c r="J102" s="46">
        <f t="shared" si="11"/>
        <v>514</v>
      </c>
      <c r="K102" s="46">
        <f t="shared" si="11"/>
        <v>32000</v>
      </c>
      <c r="L102" s="46">
        <f t="shared" si="11"/>
        <v>109</v>
      </c>
      <c r="M102" s="46">
        <f t="shared" si="11"/>
        <v>39</v>
      </c>
      <c r="N102" s="46">
        <f>SUM(B102:M102)</f>
        <v>172234</v>
      </c>
      <c r="O102" s="46">
        <f>SUM(O97:O100)</f>
        <v>182000</v>
      </c>
      <c r="P102" s="47">
        <f>100*N102/O102</f>
        <v>94.63406593406593</v>
      </c>
    </row>
    <row r="103" spans="1:16" ht="12.75" customHeight="1" x14ac:dyDescent="0.2">
      <c r="B103" s="46"/>
      <c r="C103" s="46"/>
      <c r="D103" s="46"/>
      <c r="E103" s="46"/>
      <c r="F103" s="46"/>
      <c r="G103" s="46"/>
      <c r="H103" s="46"/>
      <c r="I103" s="46"/>
      <c r="J103" s="46"/>
      <c r="K103" s="46"/>
      <c r="L103" s="46"/>
      <c r="M103" s="46"/>
      <c r="N103" s="46"/>
      <c r="O103" s="46"/>
      <c r="P103" s="47"/>
    </row>
    <row r="104" spans="1:16" ht="12.75" customHeight="1" x14ac:dyDescent="0.2">
      <c r="A104" s="38" t="s">
        <v>29</v>
      </c>
      <c r="B104" s="46"/>
      <c r="C104" s="46"/>
      <c r="D104" s="46"/>
      <c r="E104" s="46"/>
      <c r="F104" s="46"/>
      <c r="G104" s="46"/>
      <c r="H104" s="46"/>
      <c r="I104" s="46"/>
      <c r="J104" s="46"/>
      <c r="K104" s="46"/>
      <c r="L104" s="46"/>
      <c r="M104" s="46"/>
      <c r="N104" s="46"/>
      <c r="O104" s="46"/>
      <c r="P104" s="47"/>
    </row>
    <row r="105" spans="1:16" ht="12.75" customHeight="1" x14ac:dyDescent="0.2">
      <c r="A105" s="38" t="s">
        <v>13</v>
      </c>
      <c r="B105" s="46">
        <v>7090</v>
      </c>
      <c r="C105" s="46">
        <v>0</v>
      </c>
      <c r="D105" s="46">
        <v>0</v>
      </c>
      <c r="E105" s="46">
        <v>0</v>
      </c>
      <c r="F105" s="46">
        <v>0</v>
      </c>
      <c r="G105" s="46">
        <v>0</v>
      </c>
      <c r="H105" s="46">
        <v>0</v>
      </c>
      <c r="I105" s="46">
        <v>0</v>
      </c>
      <c r="J105" s="46">
        <v>0</v>
      </c>
      <c r="K105" s="46">
        <v>0</v>
      </c>
      <c r="L105" s="46">
        <v>0</v>
      </c>
      <c r="M105" s="46">
        <v>0</v>
      </c>
      <c r="N105" s="46">
        <f>SUM(B105:M105)</f>
        <v>7090</v>
      </c>
      <c r="O105" s="46">
        <v>7090</v>
      </c>
      <c r="P105" s="47">
        <f>100*N105/O105</f>
        <v>100</v>
      </c>
    </row>
    <row r="106" spans="1:16" ht="12.75" customHeight="1" x14ac:dyDescent="0.2">
      <c r="A106" s="38" t="s">
        <v>14</v>
      </c>
      <c r="B106" s="46">
        <v>95</v>
      </c>
      <c r="C106" s="46">
        <v>1729</v>
      </c>
      <c r="D106" s="46">
        <v>1330</v>
      </c>
      <c r="E106" s="46">
        <v>1873</v>
      </c>
      <c r="F106" s="46">
        <v>2600</v>
      </c>
      <c r="G106" s="46">
        <v>387</v>
      </c>
      <c r="H106" s="46">
        <v>265</v>
      </c>
      <c r="I106" s="46">
        <v>190</v>
      </c>
      <c r="J106" s="46">
        <v>303</v>
      </c>
      <c r="K106" s="46">
        <v>469</v>
      </c>
      <c r="L106" s="46">
        <v>582</v>
      </c>
      <c r="M106" s="46">
        <v>374</v>
      </c>
      <c r="N106" s="46">
        <f>SUM(B106:M106)</f>
        <v>10197</v>
      </c>
      <c r="O106" s="46">
        <v>10300</v>
      </c>
      <c r="P106" s="47">
        <f>100*N106/O106</f>
        <v>99</v>
      </c>
    </row>
    <row r="107" spans="1:16" ht="12.75" customHeight="1" x14ac:dyDescent="0.2">
      <c r="A107" s="38" t="s">
        <v>15</v>
      </c>
      <c r="B107" s="46"/>
      <c r="C107" s="46"/>
      <c r="D107" s="46"/>
      <c r="E107" s="46"/>
      <c r="F107" s="46"/>
      <c r="G107" s="46"/>
      <c r="H107" s="46"/>
      <c r="I107" s="46"/>
      <c r="J107" s="46"/>
      <c r="K107" s="46"/>
      <c r="L107" s="46"/>
      <c r="M107" s="46"/>
      <c r="N107" s="46">
        <v>0</v>
      </c>
      <c r="O107" s="46">
        <v>2954</v>
      </c>
      <c r="P107" s="47">
        <f>100*N107/O107</f>
        <v>0</v>
      </c>
    </row>
    <row r="108" spans="1:16" ht="12.75" customHeight="1" x14ac:dyDescent="0.2">
      <c r="A108" s="38" t="s">
        <v>23</v>
      </c>
      <c r="B108" s="46">
        <v>51248</v>
      </c>
      <c r="C108" s="46">
        <v>0</v>
      </c>
      <c r="D108" s="46">
        <v>0</v>
      </c>
      <c r="E108" s="46">
        <v>49564</v>
      </c>
      <c r="F108" s="46">
        <v>0</v>
      </c>
      <c r="G108" s="46">
        <v>0</v>
      </c>
      <c r="H108" s="46">
        <v>35000</v>
      </c>
      <c r="I108" s="46">
        <v>0</v>
      </c>
      <c r="J108" s="46">
        <v>0</v>
      </c>
      <c r="K108" s="46">
        <v>35000</v>
      </c>
      <c r="L108" s="46">
        <v>0</v>
      </c>
      <c r="M108" s="46">
        <v>0</v>
      </c>
      <c r="N108" s="46">
        <f>SUM(B108:M108)</f>
        <v>170812</v>
      </c>
      <c r="O108" s="46">
        <v>161656</v>
      </c>
      <c r="P108" s="47">
        <f>100*N108/O108</f>
        <v>105.66387885386253</v>
      </c>
    </row>
    <row r="109" spans="1:16" ht="12.75" customHeight="1" x14ac:dyDescent="0.2">
      <c r="B109" s="46"/>
      <c r="C109" s="46"/>
      <c r="D109" s="46"/>
      <c r="E109" s="46"/>
      <c r="F109" s="46"/>
      <c r="G109" s="46"/>
      <c r="H109" s="46"/>
      <c r="I109" s="46"/>
      <c r="J109" s="46"/>
      <c r="K109" s="46"/>
      <c r="L109" s="46"/>
      <c r="M109" s="46"/>
      <c r="N109" s="46"/>
      <c r="O109" s="46"/>
      <c r="P109" s="47"/>
    </row>
    <row r="110" spans="1:16" ht="12.75" customHeight="1" x14ac:dyDescent="0.2">
      <c r="A110" s="38" t="s">
        <v>16</v>
      </c>
      <c r="B110" s="46">
        <f t="shared" ref="B110:M110" si="12">SUM(B105:B108)</f>
        <v>58433</v>
      </c>
      <c r="C110" s="46">
        <f t="shared" si="12"/>
        <v>1729</v>
      </c>
      <c r="D110" s="46">
        <f t="shared" si="12"/>
        <v>1330</v>
      </c>
      <c r="E110" s="46">
        <f t="shared" si="12"/>
        <v>51437</v>
      </c>
      <c r="F110" s="46">
        <f t="shared" si="12"/>
        <v>2600</v>
      </c>
      <c r="G110" s="46">
        <f t="shared" si="12"/>
        <v>387</v>
      </c>
      <c r="H110" s="46">
        <f t="shared" si="12"/>
        <v>35265</v>
      </c>
      <c r="I110" s="46">
        <f t="shared" si="12"/>
        <v>190</v>
      </c>
      <c r="J110" s="46">
        <f t="shared" si="12"/>
        <v>303</v>
      </c>
      <c r="K110" s="46">
        <f t="shared" si="12"/>
        <v>35469</v>
      </c>
      <c r="L110" s="46">
        <f t="shared" si="12"/>
        <v>582</v>
      </c>
      <c r="M110" s="46">
        <f t="shared" si="12"/>
        <v>374</v>
      </c>
      <c r="N110" s="46">
        <f>SUM(B110:M110)</f>
        <v>188099</v>
      </c>
      <c r="O110" s="46">
        <f>SUM(O105:O108)</f>
        <v>182000</v>
      </c>
      <c r="P110" s="47">
        <f>100*N110/O110</f>
        <v>103.35109890109891</v>
      </c>
    </row>
    <row r="111" spans="1:16" ht="12.75" customHeight="1" x14ac:dyDescent="0.2">
      <c r="B111" s="46"/>
      <c r="C111" s="46"/>
      <c r="D111" s="46"/>
      <c r="E111" s="46"/>
      <c r="F111" s="46"/>
      <c r="G111" s="46"/>
      <c r="H111" s="46"/>
      <c r="I111" s="46"/>
      <c r="J111" s="46"/>
      <c r="K111" s="46"/>
      <c r="L111" s="46"/>
      <c r="M111" s="46"/>
      <c r="N111" s="46"/>
      <c r="O111" s="46"/>
      <c r="P111" s="47"/>
    </row>
    <row r="112" spans="1:16" ht="12.75" customHeight="1" x14ac:dyDescent="0.2">
      <c r="A112" s="38" t="s">
        <v>30</v>
      </c>
      <c r="B112" s="46"/>
      <c r="C112" s="46"/>
      <c r="D112" s="46"/>
      <c r="E112" s="46"/>
      <c r="F112" s="46"/>
      <c r="G112" s="46"/>
      <c r="H112" s="46"/>
      <c r="I112" s="46"/>
      <c r="J112" s="46"/>
      <c r="K112" s="46"/>
      <c r="L112" s="46"/>
      <c r="M112" s="46"/>
      <c r="N112" s="46"/>
      <c r="O112" s="46"/>
      <c r="P112" s="47"/>
    </row>
    <row r="113" spans="1:16" ht="12.75" customHeight="1" x14ac:dyDescent="0.2">
      <c r="A113" s="38" t="s">
        <v>13</v>
      </c>
      <c r="B113" s="46">
        <v>7090</v>
      </c>
      <c r="C113" s="46">
        <v>0</v>
      </c>
      <c r="D113" s="46">
        <v>0</v>
      </c>
      <c r="E113" s="46">
        <v>0</v>
      </c>
      <c r="F113" s="46">
        <v>0</v>
      </c>
      <c r="G113" s="46">
        <v>0</v>
      </c>
      <c r="H113" s="46">
        <v>115000</v>
      </c>
      <c r="I113" s="46">
        <v>27000</v>
      </c>
      <c r="J113" s="46">
        <v>34437</v>
      </c>
      <c r="K113" s="46">
        <v>0</v>
      </c>
      <c r="L113" s="46">
        <v>0</v>
      </c>
      <c r="M113" s="46">
        <v>0</v>
      </c>
      <c r="N113" s="46">
        <f>SUM(B113:M113)</f>
        <v>183527</v>
      </c>
      <c r="O113" s="46">
        <f>7090+176437</f>
        <v>183527</v>
      </c>
      <c r="P113" s="47">
        <f>100*N113/O113</f>
        <v>100</v>
      </c>
    </row>
    <row r="114" spans="1:16" ht="12.75" customHeight="1" x14ac:dyDescent="0.2">
      <c r="A114" s="38" t="s">
        <v>14</v>
      </c>
      <c r="B114" s="46">
        <v>1603</v>
      </c>
      <c r="C114" s="46">
        <v>1313</v>
      </c>
      <c r="D114" s="46">
        <v>1482</v>
      </c>
      <c r="E114" s="46">
        <v>1426</v>
      </c>
      <c r="F114" s="46">
        <v>1552</v>
      </c>
      <c r="G114" s="46">
        <v>1542</v>
      </c>
      <c r="H114" s="46">
        <v>838</v>
      </c>
      <c r="I114" s="46">
        <v>95</v>
      </c>
      <c r="J114" s="46">
        <v>566</v>
      </c>
      <c r="K114" s="46">
        <v>1875</v>
      </c>
      <c r="L114" s="46">
        <v>1813</v>
      </c>
      <c r="M114" s="46">
        <v>967</v>
      </c>
      <c r="N114" s="46">
        <f>SUM(B114:M114)</f>
        <v>15072</v>
      </c>
      <c r="O114" s="46">
        <f>10300+5000</f>
        <v>15300</v>
      </c>
      <c r="P114" s="47">
        <f>100*N114/O114</f>
        <v>98.509803921568633</v>
      </c>
    </row>
    <row r="115" spans="1:16" ht="12.75" customHeight="1" x14ac:dyDescent="0.2">
      <c r="A115" s="38" t="s">
        <v>15</v>
      </c>
      <c r="B115" s="46"/>
      <c r="C115" s="46"/>
      <c r="D115" s="46"/>
      <c r="E115" s="46"/>
      <c r="F115" s="46"/>
      <c r="G115" s="46"/>
      <c r="H115" s="46"/>
      <c r="I115" s="46"/>
      <c r="J115" s="46"/>
      <c r="K115" s="46"/>
      <c r="L115" s="46"/>
      <c r="M115" s="46"/>
      <c r="N115" s="46">
        <v>0</v>
      </c>
      <c r="O115" s="46">
        <v>2954</v>
      </c>
      <c r="P115" s="47">
        <f>100*N115/O115</f>
        <v>0</v>
      </c>
    </row>
    <row r="116" spans="1:16" ht="12.75" customHeight="1" x14ac:dyDescent="0.2">
      <c r="A116" s="38" t="s">
        <v>23</v>
      </c>
      <c r="B116" s="46">
        <v>51330</v>
      </c>
      <c r="C116" s="46">
        <v>0</v>
      </c>
      <c r="D116" s="46">
        <v>0</v>
      </c>
      <c r="E116" s="46">
        <v>55000</v>
      </c>
      <c r="F116" s="46">
        <v>0</v>
      </c>
      <c r="G116" s="46">
        <v>65000</v>
      </c>
      <c r="H116" s="46">
        <v>0</v>
      </c>
      <c r="I116" s="46">
        <v>0</v>
      </c>
      <c r="J116" s="46">
        <v>0</v>
      </c>
      <c r="K116" s="46">
        <v>0</v>
      </c>
      <c r="L116" s="46">
        <v>0</v>
      </c>
      <c r="M116" s="46">
        <v>0</v>
      </c>
      <c r="N116" s="46">
        <f>SUM(B116:M116)</f>
        <v>171330</v>
      </c>
      <c r="O116" s="46">
        <v>171656</v>
      </c>
      <c r="P116" s="47">
        <f>100*N116/O116</f>
        <v>99.810085286852782</v>
      </c>
    </row>
    <row r="117" spans="1:16" ht="12.75" customHeight="1" x14ac:dyDescent="0.2">
      <c r="B117" s="46"/>
      <c r="C117" s="46"/>
      <c r="D117" s="46"/>
      <c r="E117" s="46"/>
      <c r="F117" s="46"/>
      <c r="G117" s="46"/>
      <c r="H117" s="46"/>
      <c r="I117" s="46"/>
      <c r="J117" s="46"/>
      <c r="K117" s="46"/>
      <c r="L117" s="46"/>
      <c r="M117" s="46"/>
      <c r="N117" s="46"/>
      <c r="O117" s="46"/>
      <c r="P117" s="47"/>
    </row>
    <row r="118" spans="1:16" ht="12.75" customHeight="1" x14ac:dyDescent="0.2">
      <c r="A118" s="38" t="s">
        <v>16</v>
      </c>
      <c r="B118" s="46">
        <f>SUM(B113:B116)</f>
        <v>60023</v>
      </c>
      <c r="C118" s="46">
        <f t="shared" ref="C118:L118" si="13">SUM(C113:C116)</f>
        <v>1313</v>
      </c>
      <c r="D118" s="46">
        <f t="shared" si="13"/>
        <v>1482</v>
      </c>
      <c r="E118" s="46">
        <f t="shared" si="13"/>
        <v>56426</v>
      </c>
      <c r="F118" s="46">
        <f t="shared" si="13"/>
        <v>1552</v>
      </c>
      <c r="G118" s="46">
        <f t="shared" si="13"/>
        <v>66542</v>
      </c>
      <c r="H118" s="46">
        <f t="shared" si="13"/>
        <v>115838</v>
      </c>
      <c r="I118" s="46">
        <f t="shared" si="13"/>
        <v>27095</v>
      </c>
      <c r="J118" s="46">
        <f t="shared" si="13"/>
        <v>35003</v>
      </c>
      <c r="K118" s="46">
        <f t="shared" si="13"/>
        <v>1875</v>
      </c>
      <c r="L118" s="46">
        <f t="shared" si="13"/>
        <v>1813</v>
      </c>
      <c r="M118" s="46">
        <f>SUM(M113:M116)</f>
        <v>967</v>
      </c>
      <c r="N118" s="46">
        <f>SUM(B118:M118)</f>
        <v>369929</v>
      </c>
      <c r="O118" s="46">
        <f>SUM(O113:O116)</f>
        <v>373437</v>
      </c>
      <c r="P118" s="47">
        <f>100*N118/O118</f>
        <v>99.060617989111947</v>
      </c>
    </row>
    <row r="119" spans="1:16" ht="12.75" customHeight="1" x14ac:dyDescent="0.2">
      <c r="B119" s="46"/>
      <c r="C119" s="46"/>
      <c r="D119" s="46"/>
      <c r="E119" s="46"/>
      <c r="F119" s="46"/>
      <c r="G119" s="46"/>
      <c r="H119" s="46"/>
      <c r="I119" s="46"/>
      <c r="J119" s="46"/>
      <c r="K119" s="46"/>
      <c r="L119" s="46"/>
      <c r="M119" s="46"/>
      <c r="N119" s="46"/>
      <c r="O119" s="46"/>
      <c r="P119" s="47"/>
    </row>
    <row r="120" spans="1:16" ht="12.75" customHeight="1" x14ac:dyDescent="0.2">
      <c r="A120" s="38" t="s">
        <v>31</v>
      </c>
      <c r="B120" s="46"/>
      <c r="C120" s="46"/>
      <c r="D120" s="46"/>
      <c r="E120" s="46"/>
      <c r="F120" s="46"/>
      <c r="G120" s="46"/>
      <c r="H120" s="46"/>
      <c r="I120" s="46"/>
      <c r="J120" s="46"/>
      <c r="K120" s="46"/>
      <c r="L120" s="46"/>
      <c r="M120" s="46"/>
      <c r="N120" s="46"/>
      <c r="O120" s="46"/>
      <c r="P120" s="47"/>
    </row>
    <row r="121" spans="1:16" ht="12.75" customHeight="1" x14ac:dyDescent="0.2">
      <c r="A121" s="38" t="s">
        <v>13</v>
      </c>
      <c r="B121" s="46">
        <v>6824</v>
      </c>
      <c r="C121" s="46">
        <v>0</v>
      </c>
      <c r="D121" s="46">
        <v>0</v>
      </c>
      <c r="E121" s="46">
        <v>266</v>
      </c>
      <c r="F121" s="46">
        <v>0</v>
      </c>
      <c r="G121" s="46">
        <v>0</v>
      </c>
      <c r="H121" s="46">
        <v>0</v>
      </c>
      <c r="I121" s="46">
        <v>0</v>
      </c>
      <c r="J121" s="46">
        <v>0</v>
      </c>
      <c r="K121" s="46">
        <v>0</v>
      </c>
      <c r="L121" s="46">
        <v>0</v>
      </c>
      <c r="M121" s="46">
        <v>0</v>
      </c>
      <c r="N121" s="46">
        <f>SUM(B121:M121)</f>
        <v>7090</v>
      </c>
      <c r="O121" s="46">
        <v>7090</v>
      </c>
      <c r="P121" s="47">
        <f>100*N121/O121</f>
        <v>100</v>
      </c>
    </row>
    <row r="122" spans="1:16" ht="12.75" customHeight="1" x14ac:dyDescent="0.2">
      <c r="A122" s="38" t="s">
        <v>14</v>
      </c>
      <c r="B122" s="46">
        <v>0</v>
      </c>
      <c r="C122" s="46">
        <v>0</v>
      </c>
      <c r="D122" s="46">
        <v>2593</v>
      </c>
      <c r="E122" s="46">
        <v>2799</v>
      </c>
      <c r="F122" s="46">
        <v>2010</v>
      </c>
      <c r="G122" s="46">
        <v>1796</v>
      </c>
      <c r="H122" s="46">
        <v>1054</v>
      </c>
      <c r="I122" s="46">
        <v>0</v>
      </c>
      <c r="J122" s="46">
        <v>0</v>
      </c>
      <c r="K122" s="46">
        <v>29</v>
      </c>
      <c r="L122" s="46">
        <v>18</v>
      </c>
      <c r="M122" s="46">
        <v>0</v>
      </c>
      <c r="N122" s="46">
        <f>SUM(B122:M122)</f>
        <v>10299</v>
      </c>
      <c r="O122" s="46">
        <v>10300</v>
      </c>
      <c r="P122" s="47">
        <f>100*N122/O122</f>
        <v>99.990291262135926</v>
      </c>
    </row>
    <row r="123" spans="1:16" ht="12.75" customHeight="1" x14ac:dyDescent="0.2">
      <c r="A123" s="38" t="s">
        <v>15</v>
      </c>
      <c r="B123" s="46">
        <v>0</v>
      </c>
      <c r="C123" s="46">
        <v>0</v>
      </c>
      <c r="D123" s="46">
        <v>0</v>
      </c>
      <c r="E123" s="46">
        <v>0</v>
      </c>
      <c r="F123" s="46">
        <v>0</v>
      </c>
      <c r="G123" s="46">
        <v>0</v>
      </c>
      <c r="H123" s="46">
        <v>0</v>
      </c>
      <c r="I123" s="46">
        <v>0</v>
      </c>
      <c r="J123" s="46">
        <v>0</v>
      </c>
      <c r="K123" s="46">
        <v>0</v>
      </c>
      <c r="L123" s="46">
        <v>0</v>
      </c>
      <c r="M123" s="46">
        <v>0</v>
      </c>
      <c r="N123" s="46">
        <f>SUM(B123:M123)</f>
        <v>0</v>
      </c>
      <c r="O123" s="46">
        <v>2954</v>
      </c>
      <c r="P123" s="47">
        <f>100*N123/O123</f>
        <v>0</v>
      </c>
    </row>
    <row r="124" spans="1:16" ht="12.75" customHeight="1" x14ac:dyDescent="0.2">
      <c r="A124" s="38" t="s">
        <v>23</v>
      </c>
      <c r="B124" s="46">
        <v>40396</v>
      </c>
      <c r="C124" s="46">
        <v>0</v>
      </c>
      <c r="D124" s="46">
        <v>0</v>
      </c>
      <c r="E124" s="46">
        <v>38886</v>
      </c>
      <c r="F124" s="46">
        <v>0</v>
      </c>
      <c r="G124" s="46">
        <v>336</v>
      </c>
      <c r="H124" s="46">
        <v>59973</v>
      </c>
      <c r="I124" s="46">
        <v>0</v>
      </c>
      <c r="J124" s="46">
        <v>0</v>
      </c>
      <c r="K124" s="46">
        <v>38000</v>
      </c>
      <c r="L124" s="46">
        <v>1800</v>
      </c>
      <c r="M124" s="46">
        <v>0</v>
      </c>
      <c r="N124" s="46">
        <f>SUM(B124:M124)</f>
        <v>179391</v>
      </c>
      <c r="O124" s="46">
        <v>181656</v>
      </c>
      <c r="P124" s="47">
        <f>100*N124/O124</f>
        <v>98.75313779891664</v>
      </c>
    </row>
    <row r="125" spans="1:16" ht="12.75" customHeight="1" x14ac:dyDescent="0.2">
      <c r="B125" s="46"/>
      <c r="C125" s="46"/>
      <c r="D125" s="46"/>
      <c r="E125" s="46"/>
      <c r="F125" s="46"/>
      <c r="G125" s="46"/>
      <c r="H125" s="46"/>
      <c r="I125" s="46"/>
      <c r="J125" s="46"/>
      <c r="K125" s="46"/>
      <c r="L125" s="46"/>
      <c r="M125" s="46"/>
      <c r="N125" s="46"/>
      <c r="O125" s="46"/>
      <c r="P125" s="47"/>
    </row>
    <row r="126" spans="1:16" ht="12.75" customHeight="1" x14ac:dyDescent="0.2">
      <c r="A126" s="38" t="s">
        <v>16</v>
      </c>
      <c r="B126" s="46">
        <f t="shared" ref="B126:L126" si="14">SUM(B121:B124)</f>
        <v>47220</v>
      </c>
      <c r="C126" s="46">
        <f t="shared" si="14"/>
        <v>0</v>
      </c>
      <c r="D126" s="46">
        <f t="shared" si="14"/>
        <v>2593</v>
      </c>
      <c r="E126" s="46">
        <f t="shared" si="14"/>
        <v>41951</v>
      </c>
      <c r="F126" s="46">
        <f t="shared" si="14"/>
        <v>2010</v>
      </c>
      <c r="G126" s="46">
        <f t="shared" si="14"/>
        <v>2132</v>
      </c>
      <c r="H126" s="46">
        <f t="shared" si="14"/>
        <v>61027</v>
      </c>
      <c r="I126" s="46">
        <f t="shared" si="14"/>
        <v>0</v>
      </c>
      <c r="J126" s="46">
        <f t="shared" si="14"/>
        <v>0</v>
      </c>
      <c r="K126" s="46">
        <f t="shared" si="14"/>
        <v>38029</v>
      </c>
      <c r="L126" s="46">
        <f t="shared" si="14"/>
        <v>1818</v>
      </c>
      <c r="M126" s="46">
        <f>SUM(M121:M124)</f>
        <v>0</v>
      </c>
      <c r="N126" s="46">
        <f>SUM(B126:M126)</f>
        <v>196780</v>
      </c>
      <c r="O126" s="46">
        <f>SUM(O121:O124)</f>
        <v>202000</v>
      </c>
      <c r="P126" s="47">
        <f>100*N126/O126</f>
        <v>97.415841584158414</v>
      </c>
    </row>
    <row r="127" spans="1:16" ht="12.75" customHeight="1" x14ac:dyDescent="0.2">
      <c r="A127" s="35"/>
      <c r="B127" s="50"/>
      <c r="C127" s="50"/>
      <c r="D127" s="50"/>
      <c r="E127" s="50"/>
      <c r="F127" s="50"/>
      <c r="G127" s="50"/>
      <c r="H127" s="50"/>
      <c r="I127" s="50"/>
      <c r="J127" s="50"/>
      <c r="K127" s="50"/>
      <c r="L127" s="50"/>
      <c r="M127" s="50"/>
      <c r="N127" s="50"/>
      <c r="O127" s="50"/>
      <c r="P127" s="51"/>
    </row>
    <row r="128" spans="1:16" ht="12.75" customHeight="1" x14ac:dyDescent="0.2">
      <c r="A128" s="38" t="s">
        <v>34</v>
      </c>
      <c r="B128" s="46"/>
      <c r="C128" s="46"/>
      <c r="D128" s="46"/>
      <c r="E128" s="46"/>
      <c r="F128" s="46"/>
      <c r="G128" s="46"/>
      <c r="H128" s="46"/>
      <c r="I128" s="46"/>
      <c r="J128" s="46"/>
      <c r="K128" s="46"/>
      <c r="L128" s="46"/>
      <c r="M128" s="46"/>
      <c r="N128" s="46"/>
      <c r="O128" s="46"/>
      <c r="P128" s="47"/>
    </row>
    <row r="129" spans="1:16" ht="12.75" customHeight="1" x14ac:dyDescent="0.2">
      <c r="A129" s="38" t="s">
        <v>13</v>
      </c>
      <c r="B129" s="60">
        <v>7068</v>
      </c>
      <c r="C129" s="61">
        <v>0</v>
      </c>
      <c r="D129" s="61">
        <v>0</v>
      </c>
      <c r="E129" s="61">
        <v>0</v>
      </c>
      <c r="F129" s="61">
        <v>0</v>
      </c>
      <c r="G129" s="61">
        <v>0</v>
      </c>
      <c r="H129" s="61">
        <v>0</v>
      </c>
      <c r="I129" s="61">
        <v>0</v>
      </c>
      <c r="J129" s="61">
        <v>0</v>
      </c>
      <c r="K129" s="48">
        <v>0</v>
      </c>
      <c r="L129" s="62">
        <v>0</v>
      </c>
      <c r="M129" s="61">
        <v>0</v>
      </c>
      <c r="N129" s="46">
        <f>SUM(B129:M129)</f>
        <v>7068</v>
      </c>
      <c r="O129" s="46">
        <v>7090</v>
      </c>
      <c r="P129" s="47">
        <f>100*N129/O129</f>
        <v>99.689703808180539</v>
      </c>
    </row>
    <row r="130" spans="1:16" ht="12.75" customHeight="1" x14ac:dyDescent="0.2">
      <c r="A130" s="38" t="s">
        <v>14</v>
      </c>
      <c r="B130" s="46">
        <v>0</v>
      </c>
      <c r="C130" s="48">
        <v>241</v>
      </c>
      <c r="D130" s="48">
        <v>1406</v>
      </c>
      <c r="E130" s="48">
        <v>1586</v>
      </c>
      <c r="F130" s="48">
        <v>2850</v>
      </c>
      <c r="G130" s="48">
        <v>1723</v>
      </c>
      <c r="H130" s="48">
        <v>1548</v>
      </c>
      <c r="I130" s="48">
        <v>362</v>
      </c>
      <c r="J130" s="48">
        <v>43</v>
      </c>
      <c r="K130" s="48">
        <v>19</v>
      </c>
      <c r="L130" s="48">
        <v>362</v>
      </c>
      <c r="M130" s="48">
        <v>90</v>
      </c>
      <c r="N130" s="46">
        <f t="shared" ref="N130:N132" si="15">SUM(B130:M130)</f>
        <v>10230</v>
      </c>
      <c r="O130" s="46">
        <v>10300</v>
      </c>
      <c r="P130" s="47">
        <f>100*N130/O130</f>
        <v>99.320388349514559</v>
      </c>
    </row>
    <row r="131" spans="1:16" ht="12.75" customHeight="1" x14ac:dyDescent="0.2">
      <c r="A131" s="38" t="s">
        <v>15</v>
      </c>
      <c r="B131" s="46">
        <v>0</v>
      </c>
      <c r="C131" s="46">
        <v>0</v>
      </c>
      <c r="D131" s="46">
        <v>0</v>
      </c>
      <c r="E131" s="46">
        <v>0</v>
      </c>
      <c r="F131" s="46">
        <v>0</v>
      </c>
      <c r="G131" s="48">
        <v>0</v>
      </c>
      <c r="H131" s="48">
        <v>0</v>
      </c>
      <c r="I131" s="48">
        <v>0</v>
      </c>
      <c r="J131" s="48">
        <v>0</v>
      </c>
      <c r="K131" s="48">
        <v>0</v>
      </c>
      <c r="L131" s="48">
        <v>0</v>
      </c>
      <c r="M131" s="48">
        <v>0</v>
      </c>
      <c r="N131" s="46">
        <f t="shared" si="15"/>
        <v>0</v>
      </c>
      <c r="O131" s="46">
        <v>2954</v>
      </c>
      <c r="P131" s="47">
        <f>100*N131/O131</f>
        <v>0</v>
      </c>
    </row>
    <row r="132" spans="1:16" ht="12.75" customHeight="1" x14ac:dyDescent="0.2">
      <c r="A132" s="38" t="s">
        <v>23</v>
      </c>
      <c r="B132" s="46">
        <v>60897</v>
      </c>
      <c r="C132" s="48">
        <v>52</v>
      </c>
      <c r="D132" s="48">
        <v>0</v>
      </c>
      <c r="E132" s="48">
        <v>57188</v>
      </c>
      <c r="F132" s="48">
        <v>0</v>
      </c>
      <c r="G132" s="48">
        <v>0</v>
      </c>
      <c r="H132" s="48">
        <v>39876</v>
      </c>
      <c r="I132" s="48">
        <v>0</v>
      </c>
      <c r="J132" s="48">
        <v>0</v>
      </c>
      <c r="K132" s="48">
        <v>39962</v>
      </c>
      <c r="L132" s="48">
        <v>0</v>
      </c>
      <c r="M132" s="48">
        <v>0</v>
      </c>
      <c r="N132" s="46">
        <f t="shared" si="15"/>
        <v>197975</v>
      </c>
      <c r="O132" s="46">
        <v>201656</v>
      </c>
      <c r="P132" s="47">
        <f>100*N132/O132</f>
        <v>98.174614194469797</v>
      </c>
    </row>
    <row r="133" spans="1:16" ht="12.75" customHeight="1" x14ac:dyDescent="0.2">
      <c r="B133" s="46"/>
      <c r="C133" s="46"/>
      <c r="D133" s="46"/>
      <c r="E133" s="46"/>
      <c r="F133" s="46"/>
      <c r="G133" s="46"/>
      <c r="H133" s="46"/>
      <c r="I133" s="46"/>
      <c r="J133" s="46"/>
      <c r="K133" s="46"/>
      <c r="L133" s="46"/>
      <c r="M133" s="46"/>
      <c r="N133" s="46"/>
      <c r="O133" s="46"/>
      <c r="P133" s="47"/>
    </row>
    <row r="134" spans="1:16" ht="12" customHeight="1" x14ac:dyDescent="0.2">
      <c r="A134" s="38" t="s">
        <v>16</v>
      </c>
      <c r="B134" s="46">
        <f>SUM(B129:B132)</f>
        <v>67965</v>
      </c>
      <c r="C134" s="46">
        <f t="shared" ref="C134:M134" si="16">SUM(C129:C132)</f>
        <v>293</v>
      </c>
      <c r="D134" s="46">
        <f t="shared" si="16"/>
        <v>1406</v>
      </c>
      <c r="E134" s="46">
        <f t="shared" si="16"/>
        <v>58774</v>
      </c>
      <c r="F134" s="46">
        <f t="shared" si="16"/>
        <v>2850</v>
      </c>
      <c r="G134" s="46">
        <f t="shared" si="16"/>
        <v>1723</v>
      </c>
      <c r="H134" s="48">
        <f t="shared" si="16"/>
        <v>41424</v>
      </c>
      <c r="I134" s="48">
        <f t="shared" si="16"/>
        <v>362</v>
      </c>
      <c r="J134" s="48">
        <f t="shared" si="16"/>
        <v>43</v>
      </c>
      <c r="K134" s="48">
        <f t="shared" si="16"/>
        <v>39981</v>
      </c>
      <c r="L134" s="48">
        <f t="shared" si="16"/>
        <v>362</v>
      </c>
      <c r="M134" s="48">
        <f t="shared" si="16"/>
        <v>90</v>
      </c>
      <c r="N134" s="46">
        <f>SUM(B134:M134)</f>
        <v>215273</v>
      </c>
      <c r="O134" s="46">
        <f>SUM(O129:O132)</f>
        <v>222000</v>
      </c>
      <c r="P134" s="47">
        <f>100*N134/O134</f>
        <v>96.969819819819818</v>
      </c>
    </row>
    <row r="135" spans="1:16" ht="12.75" customHeight="1" x14ac:dyDescent="0.2">
      <c r="A135" s="35"/>
      <c r="B135" s="50"/>
      <c r="C135" s="50"/>
      <c r="D135" s="50"/>
      <c r="E135" s="50"/>
      <c r="F135" s="50"/>
      <c r="G135" s="50"/>
      <c r="H135" s="50"/>
      <c r="I135" s="50"/>
      <c r="J135" s="50"/>
      <c r="K135" s="50"/>
      <c r="L135" s="50"/>
      <c r="M135" s="50"/>
      <c r="N135" s="50"/>
      <c r="O135" s="50"/>
      <c r="P135" s="51"/>
    </row>
    <row r="136" spans="1:16" ht="12.75" customHeight="1" x14ac:dyDescent="0.2">
      <c r="A136" s="38" t="s">
        <v>68</v>
      </c>
      <c r="B136" s="46"/>
      <c r="C136" s="46"/>
      <c r="D136" s="46"/>
      <c r="E136" s="46"/>
      <c r="F136" s="46"/>
      <c r="G136" s="46"/>
      <c r="H136" s="46"/>
      <c r="I136" s="46"/>
      <c r="J136" s="46"/>
      <c r="K136" s="46"/>
      <c r="L136" s="46"/>
      <c r="M136" s="46"/>
      <c r="N136" s="46"/>
      <c r="O136" s="46"/>
      <c r="P136" s="47"/>
    </row>
    <row r="137" spans="1:16" ht="12.75" customHeight="1" x14ac:dyDescent="0.2">
      <c r="A137" s="38" t="s">
        <v>13</v>
      </c>
      <c r="B137" s="60">
        <v>7090</v>
      </c>
      <c r="C137" s="61">
        <v>0</v>
      </c>
      <c r="D137" s="61">
        <v>0</v>
      </c>
      <c r="E137" s="61">
        <v>0</v>
      </c>
      <c r="F137" s="61">
        <v>0</v>
      </c>
      <c r="G137" s="61">
        <v>0</v>
      </c>
      <c r="H137" s="61">
        <v>0</v>
      </c>
      <c r="I137" s="61">
        <v>0</v>
      </c>
      <c r="J137" s="61">
        <v>0</v>
      </c>
      <c r="K137" s="61">
        <v>0</v>
      </c>
      <c r="L137" s="61">
        <v>0</v>
      </c>
      <c r="M137" s="61">
        <v>0</v>
      </c>
      <c r="N137" s="46">
        <f>SUM(B137:M137)</f>
        <v>7090</v>
      </c>
      <c r="O137" s="46">
        <v>7090</v>
      </c>
      <c r="P137" s="47">
        <f>100*N137/O137</f>
        <v>100</v>
      </c>
    </row>
    <row r="138" spans="1:16" ht="12.75" customHeight="1" x14ac:dyDescent="0.2">
      <c r="A138" s="38" t="s">
        <v>14</v>
      </c>
      <c r="B138" s="46">
        <v>0</v>
      </c>
      <c r="C138" s="48">
        <v>228</v>
      </c>
      <c r="D138" s="48">
        <v>2569</v>
      </c>
      <c r="E138" s="61">
        <v>818</v>
      </c>
      <c r="F138" s="61">
        <v>476</v>
      </c>
      <c r="G138" s="61">
        <v>1712</v>
      </c>
      <c r="H138" s="61">
        <v>799</v>
      </c>
      <c r="I138" s="61">
        <v>590</v>
      </c>
      <c r="J138" s="61">
        <v>647</v>
      </c>
      <c r="K138" s="61">
        <v>971</v>
      </c>
      <c r="L138" s="61">
        <v>1490</v>
      </c>
      <c r="M138" s="61">
        <v>0</v>
      </c>
      <c r="N138" s="46">
        <f t="shared" ref="N138:N140" si="17">SUM(B138:M138)</f>
        <v>10300</v>
      </c>
      <c r="O138" s="46">
        <v>10300</v>
      </c>
      <c r="P138" s="47">
        <f>100*N138/O138</f>
        <v>100</v>
      </c>
    </row>
    <row r="139" spans="1:16" ht="12.75" customHeight="1" x14ac:dyDescent="0.2">
      <c r="A139" s="38" t="s">
        <v>15</v>
      </c>
      <c r="B139" s="46">
        <v>0</v>
      </c>
      <c r="C139" s="46">
        <v>0</v>
      </c>
      <c r="D139" s="46">
        <v>0</v>
      </c>
      <c r="E139" s="61">
        <v>0</v>
      </c>
      <c r="F139" s="61">
        <v>0</v>
      </c>
      <c r="G139" s="61">
        <v>0</v>
      </c>
      <c r="H139" s="61">
        <v>0</v>
      </c>
      <c r="I139" s="61">
        <v>0</v>
      </c>
      <c r="J139" s="61">
        <v>0</v>
      </c>
      <c r="K139" s="61">
        <v>0</v>
      </c>
      <c r="L139" s="61">
        <v>0</v>
      </c>
      <c r="M139" s="61">
        <v>0</v>
      </c>
      <c r="N139" s="46">
        <f t="shared" si="17"/>
        <v>0</v>
      </c>
      <c r="O139" s="46">
        <v>2954</v>
      </c>
      <c r="P139" s="47">
        <f>100*N139/O139</f>
        <v>0</v>
      </c>
    </row>
    <row r="140" spans="1:16" ht="12.75" customHeight="1" x14ac:dyDescent="0.2">
      <c r="A140" s="38" t="s">
        <v>23</v>
      </c>
      <c r="B140" s="46">
        <v>61569</v>
      </c>
      <c r="C140" s="48">
        <v>60</v>
      </c>
      <c r="D140" s="48">
        <v>0</v>
      </c>
      <c r="E140" s="61">
        <v>60000</v>
      </c>
      <c r="F140" s="61">
        <v>0</v>
      </c>
      <c r="G140" s="61">
        <v>0</v>
      </c>
      <c r="H140" s="61">
        <v>40000</v>
      </c>
      <c r="I140" s="61">
        <v>0</v>
      </c>
      <c r="J140" s="61">
        <v>0</v>
      </c>
      <c r="K140" s="61">
        <v>40000</v>
      </c>
      <c r="L140" s="61">
        <v>0</v>
      </c>
      <c r="M140" s="61">
        <v>0</v>
      </c>
      <c r="N140" s="46">
        <f t="shared" si="17"/>
        <v>201629</v>
      </c>
      <c r="O140" s="46">
        <v>201656</v>
      </c>
      <c r="P140" s="47">
        <f>100*N140/O140</f>
        <v>99.986610862062122</v>
      </c>
    </row>
    <row r="141" spans="1:16" ht="12.75" customHeight="1" x14ac:dyDescent="0.2">
      <c r="B141" s="46"/>
      <c r="C141" s="46"/>
      <c r="D141" s="46"/>
      <c r="E141" s="46"/>
      <c r="F141" s="46"/>
      <c r="G141" s="46"/>
      <c r="H141" s="46"/>
      <c r="I141" s="46"/>
      <c r="J141" s="46"/>
      <c r="K141" s="46"/>
      <c r="L141" s="46"/>
      <c r="M141" s="46"/>
      <c r="N141" s="46"/>
      <c r="O141" s="46"/>
      <c r="P141" s="47"/>
    </row>
    <row r="142" spans="1:16" ht="12" customHeight="1" x14ac:dyDescent="0.2">
      <c r="A142" s="35" t="s">
        <v>16</v>
      </c>
      <c r="B142" s="50">
        <f>SUM(B137:B140)</f>
        <v>68659</v>
      </c>
      <c r="C142" s="50">
        <f t="shared" ref="C142:M142" si="18">SUM(C137:C140)</f>
        <v>288</v>
      </c>
      <c r="D142" s="50">
        <f t="shared" si="18"/>
        <v>2569</v>
      </c>
      <c r="E142" s="50">
        <f t="shared" si="18"/>
        <v>60818</v>
      </c>
      <c r="F142" s="50">
        <f t="shared" si="18"/>
        <v>476</v>
      </c>
      <c r="G142" s="50">
        <f t="shared" si="18"/>
        <v>1712</v>
      </c>
      <c r="H142" s="54">
        <f t="shared" si="18"/>
        <v>40799</v>
      </c>
      <c r="I142" s="54">
        <f t="shared" si="18"/>
        <v>590</v>
      </c>
      <c r="J142" s="54">
        <f t="shared" si="18"/>
        <v>647</v>
      </c>
      <c r="K142" s="54">
        <f t="shared" si="18"/>
        <v>40971</v>
      </c>
      <c r="L142" s="54">
        <f t="shared" si="18"/>
        <v>1490</v>
      </c>
      <c r="M142" s="54">
        <f t="shared" si="18"/>
        <v>0</v>
      </c>
      <c r="N142" s="50">
        <f>SUM(B142:M142)</f>
        <v>219019</v>
      </c>
      <c r="O142" s="50">
        <f>SUM(O137:O140)</f>
        <v>222000</v>
      </c>
      <c r="P142" s="51">
        <f>100*N142/O142</f>
        <v>98.657207207207207</v>
      </c>
    </row>
    <row r="143" spans="1:16" ht="12.75" customHeight="1" x14ac:dyDescent="0.2">
      <c r="A143" s="38" t="s">
        <v>82</v>
      </c>
      <c r="B143" s="46"/>
      <c r="C143" s="46"/>
      <c r="D143" s="46"/>
      <c r="E143" s="46"/>
      <c r="F143" s="46"/>
      <c r="G143" s="46"/>
      <c r="H143" s="46"/>
      <c r="I143" s="46"/>
      <c r="J143" s="46"/>
      <c r="K143" s="46"/>
      <c r="L143" s="46"/>
      <c r="M143" s="46"/>
      <c r="N143" s="46"/>
      <c r="O143" s="46"/>
      <c r="P143" s="47"/>
    </row>
    <row r="144" spans="1:16" ht="12.75" customHeight="1" x14ac:dyDescent="0.2">
      <c r="A144" s="38" t="s">
        <v>13</v>
      </c>
      <c r="B144" s="60">
        <v>7090</v>
      </c>
      <c r="C144" s="61">
        <v>0</v>
      </c>
      <c r="D144" s="61">
        <v>0</v>
      </c>
      <c r="E144" s="61">
        <v>0</v>
      </c>
      <c r="F144" s="61">
        <v>0</v>
      </c>
      <c r="G144" s="61">
        <v>0</v>
      </c>
      <c r="H144" s="61">
        <v>0</v>
      </c>
      <c r="I144" s="61" t="s">
        <v>71</v>
      </c>
      <c r="J144" s="61" t="s">
        <v>71</v>
      </c>
      <c r="K144" s="61" t="s">
        <v>71</v>
      </c>
      <c r="L144" s="61" t="s">
        <v>71</v>
      </c>
      <c r="M144" s="61" t="s">
        <v>71</v>
      </c>
      <c r="N144" s="46">
        <f>SUM(B144:M144)</f>
        <v>7090</v>
      </c>
      <c r="O144" s="46">
        <v>7090</v>
      </c>
      <c r="P144" s="47">
        <f>100*N144/O144</f>
        <v>100</v>
      </c>
    </row>
    <row r="145" spans="1:17" ht="12.75" customHeight="1" x14ac:dyDescent="0.2">
      <c r="A145" s="38" t="s">
        <v>14</v>
      </c>
      <c r="B145" s="46">
        <v>0</v>
      </c>
      <c r="C145" s="61">
        <v>0</v>
      </c>
      <c r="D145" s="61">
        <v>0</v>
      </c>
      <c r="E145" s="61">
        <v>0</v>
      </c>
      <c r="F145" s="61">
        <v>1065</v>
      </c>
      <c r="G145" s="61">
        <v>1065</v>
      </c>
      <c r="H145" s="61">
        <v>875</v>
      </c>
      <c r="I145" s="61" t="s">
        <v>71</v>
      </c>
      <c r="J145" s="61" t="s">
        <v>71</v>
      </c>
      <c r="K145" s="61" t="s">
        <v>71</v>
      </c>
      <c r="L145" s="61" t="s">
        <v>71</v>
      </c>
      <c r="M145" s="61" t="s">
        <v>71</v>
      </c>
      <c r="N145" s="46">
        <f t="shared" ref="N145:N147" si="19">SUM(B145:M145)</f>
        <v>3005</v>
      </c>
      <c r="O145" s="46">
        <v>10300</v>
      </c>
      <c r="P145" s="47">
        <f>100*N145/O145</f>
        <v>29.174757281553397</v>
      </c>
    </row>
    <row r="146" spans="1:17" ht="12.75" customHeight="1" x14ac:dyDescent="0.2">
      <c r="A146" s="38" t="s">
        <v>15</v>
      </c>
      <c r="B146" s="46">
        <v>0</v>
      </c>
      <c r="C146" s="61">
        <v>0</v>
      </c>
      <c r="D146" s="61">
        <v>0</v>
      </c>
      <c r="E146" s="61">
        <v>0</v>
      </c>
      <c r="F146" s="61">
        <v>0</v>
      </c>
      <c r="G146" s="61">
        <v>0</v>
      </c>
      <c r="H146" s="61">
        <v>0</v>
      </c>
      <c r="I146" s="61" t="s">
        <v>71</v>
      </c>
      <c r="J146" s="61" t="s">
        <v>71</v>
      </c>
      <c r="K146" s="61" t="s">
        <v>71</v>
      </c>
      <c r="L146" s="61" t="s">
        <v>71</v>
      </c>
      <c r="M146" s="61" t="s">
        <v>71</v>
      </c>
      <c r="N146" s="46">
        <f t="shared" si="19"/>
        <v>0</v>
      </c>
      <c r="O146" s="46">
        <v>2954</v>
      </c>
      <c r="P146" s="47">
        <f>100*N146/O146</f>
        <v>0</v>
      </c>
    </row>
    <row r="147" spans="1:17" ht="12.75" customHeight="1" x14ac:dyDescent="0.2">
      <c r="A147" s="38" t="s">
        <v>23</v>
      </c>
      <c r="B147" s="46">
        <v>61656</v>
      </c>
      <c r="C147" s="61">
        <v>0</v>
      </c>
      <c r="D147" s="61">
        <v>0</v>
      </c>
      <c r="E147" s="61">
        <v>60000</v>
      </c>
      <c r="F147" s="61">
        <v>0</v>
      </c>
      <c r="G147" s="61">
        <v>0</v>
      </c>
      <c r="H147" s="61">
        <v>45000</v>
      </c>
      <c r="I147" s="61" t="s">
        <v>71</v>
      </c>
      <c r="J147" s="61" t="s">
        <v>71</v>
      </c>
      <c r="K147" s="61" t="s">
        <v>71</v>
      </c>
      <c r="L147" s="61" t="s">
        <v>71</v>
      </c>
      <c r="M147" s="61" t="s">
        <v>71</v>
      </c>
      <c r="N147" s="46">
        <f t="shared" si="19"/>
        <v>166656</v>
      </c>
      <c r="O147" s="46">
        <v>211656</v>
      </c>
      <c r="P147" s="47">
        <f>100*N147/O147</f>
        <v>78.739086064179617</v>
      </c>
    </row>
    <row r="148" spans="1:17" ht="12.75" customHeight="1" x14ac:dyDescent="0.2">
      <c r="B148" s="46"/>
      <c r="C148" s="46"/>
      <c r="D148" s="46"/>
      <c r="E148" s="46"/>
      <c r="F148" s="46"/>
      <c r="G148" s="46"/>
      <c r="H148" s="46"/>
      <c r="I148" s="46"/>
      <c r="J148" s="46"/>
      <c r="K148" s="46"/>
      <c r="L148" s="46"/>
      <c r="M148" s="46"/>
      <c r="N148" s="46"/>
      <c r="O148" s="46"/>
      <c r="P148" s="47"/>
    </row>
    <row r="149" spans="1:17" ht="12" customHeight="1" x14ac:dyDescent="0.2">
      <c r="A149" s="35" t="s">
        <v>16</v>
      </c>
      <c r="B149" s="50">
        <f>SUM(B144:B147)</f>
        <v>68746</v>
      </c>
      <c r="C149" s="50">
        <f>SUM(C144:C147)</f>
        <v>0</v>
      </c>
      <c r="D149" s="50">
        <f>SUM(D144:D147)</f>
        <v>0</v>
      </c>
      <c r="E149" s="50">
        <f t="shared" ref="E149:M149" si="20">SUM(E144:E147)</f>
        <v>60000</v>
      </c>
      <c r="F149" s="50">
        <f t="shared" si="20"/>
        <v>1065</v>
      </c>
      <c r="G149" s="50">
        <f t="shared" si="20"/>
        <v>1065</v>
      </c>
      <c r="H149" s="54">
        <f t="shared" si="20"/>
        <v>45875</v>
      </c>
      <c r="I149" s="54">
        <f t="shared" si="20"/>
        <v>0</v>
      </c>
      <c r="J149" s="54">
        <f t="shared" si="20"/>
        <v>0</v>
      </c>
      <c r="K149" s="54">
        <f t="shared" si="20"/>
        <v>0</v>
      </c>
      <c r="L149" s="54">
        <f t="shared" si="20"/>
        <v>0</v>
      </c>
      <c r="M149" s="54">
        <f t="shared" si="20"/>
        <v>0</v>
      </c>
      <c r="N149" s="50">
        <f>SUM(B149:M149)</f>
        <v>176751</v>
      </c>
      <c r="O149" s="50">
        <f>SUM(O144:O147)</f>
        <v>232000</v>
      </c>
      <c r="P149" s="51">
        <f>100*N149/O149</f>
        <v>76.185775862068965</v>
      </c>
    </row>
    <row r="150" spans="1:17" ht="12.75" customHeight="1" x14ac:dyDescent="0.2">
      <c r="A150" s="38" t="s">
        <v>83</v>
      </c>
      <c r="B150" s="46"/>
      <c r="C150" s="46"/>
      <c r="D150" s="46"/>
      <c r="E150" s="46"/>
      <c r="F150" s="46"/>
      <c r="G150" s="46"/>
      <c r="H150" s="46"/>
      <c r="I150" s="46"/>
      <c r="J150" s="46"/>
      <c r="K150" s="46"/>
      <c r="L150" s="46"/>
      <c r="M150" s="46"/>
      <c r="N150" s="46"/>
      <c r="O150" s="46"/>
      <c r="P150" s="47"/>
    </row>
    <row r="151" spans="1:17" ht="12.75" customHeight="1" x14ac:dyDescent="0.2">
      <c r="A151" s="38" t="s">
        <v>60</v>
      </c>
    </row>
    <row r="152" spans="1:17" ht="41.25" customHeight="1" x14ac:dyDescent="0.2">
      <c r="A152" s="64" t="s">
        <v>74</v>
      </c>
      <c r="B152" s="64"/>
      <c r="C152" s="64"/>
      <c r="D152" s="64"/>
      <c r="E152" s="64"/>
      <c r="F152" s="64"/>
      <c r="G152" s="64"/>
      <c r="H152" s="64"/>
      <c r="I152" s="64"/>
      <c r="J152" s="64"/>
      <c r="K152" s="64"/>
      <c r="L152" s="64"/>
      <c r="M152" s="64"/>
      <c r="N152" s="64"/>
      <c r="O152" s="64"/>
      <c r="P152" s="64"/>
    </row>
    <row r="153" spans="1:17" x14ac:dyDescent="0.2">
      <c r="A153" s="63" t="s">
        <v>78</v>
      </c>
      <c r="B153" s="46"/>
      <c r="C153" s="46"/>
      <c r="D153" s="46"/>
      <c r="E153" s="46"/>
      <c r="F153" s="46"/>
      <c r="G153" s="46"/>
      <c r="H153" s="46"/>
      <c r="I153" s="46"/>
      <c r="J153" s="46"/>
      <c r="K153" s="46"/>
      <c r="L153" s="46"/>
      <c r="M153" s="46"/>
      <c r="N153" s="46"/>
      <c r="O153" s="46"/>
      <c r="P153" s="46"/>
      <c r="Q153" s="46"/>
    </row>
    <row r="154" spans="1:17" x14ac:dyDescent="0.2">
      <c r="A154" s="38" t="s">
        <v>72</v>
      </c>
    </row>
    <row r="155" spans="1:17" x14ac:dyDescent="0.2">
      <c r="A155" s="38" t="s">
        <v>84</v>
      </c>
      <c r="N155" s="46"/>
      <c r="O155" s="46"/>
    </row>
    <row r="156" spans="1:17" x14ac:dyDescent="0.2">
      <c r="A156" s="38" t="s">
        <v>65</v>
      </c>
      <c r="N156" s="46"/>
      <c r="O156" s="46"/>
    </row>
    <row r="158" spans="1:17" x14ac:dyDescent="0.2">
      <c r="B158" s="46"/>
      <c r="C158" s="46"/>
      <c r="D158" s="52"/>
      <c r="E158" s="46"/>
    </row>
    <row r="159" spans="1:17" x14ac:dyDescent="0.2">
      <c r="B159" s="46"/>
      <c r="C159" s="46"/>
      <c r="D159" s="52"/>
    </row>
    <row r="160" spans="1:17" x14ac:dyDescent="0.2">
      <c r="B160" s="46"/>
      <c r="C160" s="46"/>
      <c r="D160" s="52"/>
    </row>
    <row r="161" spans="2:4" x14ac:dyDescent="0.2">
      <c r="B161" s="46"/>
      <c r="C161" s="46"/>
      <c r="D161" s="52"/>
    </row>
    <row r="162" spans="2:4" x14ac:dyDescent="0.2">
      <c r="B162" s="46"/>
      <c r="C162" s="46"/>
      <c r="D162" s="53"/>
    </row>
    <row r="163" spans="2:4" x14ac:dyDescent="0.2">
      <c r="C163" s="46"/>
      <c r="D163" s="52"/>
    </row>
    <row r="164" spans="2:4" x14ac:dyDescent="0.2">
      <c r="B164" s="46"/>
      <c r="C164" s="46"/>
    </row>
  </sheetData>
  <mergeCells count="1">
    <mergeCell ref="A152:P152"/>
  </mergeCells>
  <phoneticPr fontId="2" type="noConversion"/>
  <pageMargins left="0.75" right="0.75" top="1" bottom="1" header="0.5" footer="0.5"/>
  <pageSetup scale="68" orientation="landscape" horizontalDpi="300" verticalDpi="300" r:id="rId1"/>
  <headerFooter alignWithMargins="0"/>
  <ignoredErrors>
    <ignoredError sqref="N118 N126 N134 N1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zoomScale="80" zoomScaleNormal="80" workbookViewId="0"/>
  </sheetViews>
  <sheetFormatPr defaultColWidth="9.140625" defaultRowHeight="12.75" x14ac:dyDescent="0.2"/>
  <cols>
    <col min="1" max="1" width="36.140625" style="2" customWidth="1"/>
    <col min="2" max="2" width="13" style="2" customWidth="1"/>
    <col min="3" max="3" width="14.85546875" style="2" bestFit="1" customWidth="1"/>
    <col min="4" max="4" width="9.7109375" style="2" bestFit="1" customWidth="1"/>
    <col min="5" max="5" width="15.42578125" style="2" customWidth="1"/>
    <col min="6" max="16384" width="9.140625" style="2"/>
  </cols>
  <sheetData>
    <row r="1" spans="1:5" x14ac:dyDescent="0.2">
      <c r="A1" s="36" t="s">
        <v>59</v>
      </c>
      <c r="B1" s="15"/>
      <c r="C1" s="14"/>
      <c r="D1" s="14"/>
      <c r="E1" s="14"/>
    </row>
    <row r="2" spans="1:5" x14ac:dyDescent="0.2">
      <c r="A2" s="16"/>
      <c r="B2" s="17"/>
      <c r="C2" s="16"/>
      <c r="D2" s="16"/>
      <c r="E2" s="16"/>
    </row>
    <row r="3" spans="1:5" x14ac:dyDescent="0.2">
      <c r="A3" s="16" t="s">
        <v>36</v>
      </c>
      <c r="B3" s="18" t="s">
        <v>37</v>
      </c>
      <c r="C3" s="19" t="s">
        <v>38</v>
      </c>
      <c r="D3" s="19" t="s">
        <v>39</v>
      </c>
      <c r="E3" s="19" t="s">
        <v>40</v>
      </c>
    </row>
    <row r="4" spans="1:5" x14ac:dyDescent="0.2">
      <c r="A4" s="14"/>
      <c r="B4" s="20"/>
      <c r="C4" s="21">
        <v>39355</v>
      </c>
      <c r="D4" s="22" t="s">
        <v>41</v>
      </c>
      <c r="E4" s="22" t="s">
        <v>45</v>
      </c>
    </row>
    <row r="5" spans="1:5" x14ac:dyDescent="0.2">
      <c r="B5" s="59" t="s">
        <v>67</v>
      </c>
      <c r="E5" s="6" t="s">
        <v>46</v>
      </c>
    </row>
    <row r="6" spans="1:5" x14ac:dyDescent="0.2">
      <c r="A6" s="2" t="s">
        <v>35</v>
      </c>
      <c r="B6" s="23"/>
    </row>
    <row r="7" spans="1:5" x14ac:dyDescent="0.2">
      <c r="A7" s="24" t="s">
        <v>42</v>
      </c>
      <c r="B7" s="17">
        <v>7090</v>
      </c>
      <c r="C7" s="17">
        <v>7090</v>
      </c>
      <c r="D7" s="17">
        <f>B7-C7</f>
        <v>0</v>
      </c>
      <c r="E7" s="7">
        <f>C7/B7*100</f>
        <v>100</v>
      </c>
    </row>
    <row r="8" spans="1:5" x14ac:dyDescent="0.2">
      <c r="A8" s="24" t="s">
        <v>43</v>
      </c>
      <c r="B8" s="17">
        <v>10300</v>
      </c>
      <c r="C8" s="17">
        <v>10300</v>
      </c>
      <c r="D8" s="17">
        <f>B8-C8</f>
        <v>0</v>
      </c>
      <c r="E8" s="7">
        <f>C8/B8*100</f>
        <v>100</v>
      </c>
    </row>
    <row r="9" spans="1:5" x14ac:dyDescent="0.2">
      <c r="A9" s="56" t="s">
        <v>64</v>
      </c>
      <c r="B9" s="17">
        <v>252954</v>
      </c>
      <c r="C9" s="17">
        <f>83380.724*1.0606</f>
        <v>88433.595874399994</v>
      </c>
      <c r="D9" s="17">
        <f>B9-C9</f>
        <v>164520.40412560001</v>
      </c>
      <c r="E9" s="7">
        <f>C9/B9*100</f>
        <v>34.960346890897156</v>
      </c>
    </row>
    <row r="10" spans="1:5" x14ac:dyDescent="0.2">
      <c r="A10" s="24" t="s">
        <v>44</v>
      </c>
      <c r="B10" s="17">
        <f>1656+11666+11667+14515+15296+18144</f>
        <v>72944</v>
      </c>
      <c r="C10" s="17">
        <v>72944</v>
      </c>
      <c r="D10" s="17">
        <f>B10-C10</f>
        <v>0</v>
      </c>
      <c r="E10" s="7">
        <f>C10/B10*100</f>
        <v>100</v>
      </c>
    </row>
    <row r="11" spans="1:5" x14ac:dyDescent="0.2">
      <c r="A11" s="58" t="s">
        <v>66</v>
      </c>
      <c r="B11" s="15">
        <f>SUM(B7:B10)</f>
        <v>343288</v>
      </c>
      <c r="C11" s="15">
        <f>SUM(C7:C10)</f>
        <v>178767.59587439999</v>
      </c>
      <c r="D11" s="15">
        <f>B11-C11</f>
        <v>164520.40412560001</v>
      </c>
      <c r="E11" s="8">
        <f>C11/B11*100</f>
        <v>52.075107744634238</v>
      </c>
    </row>
    <row r="12" spans="1:5" x14ac:dyDescent="0.2">
      <c r="A12" s="38" t="s">
        <v>69</v>
      </c>
      <c r="B12" s="17"/>
      <c r="C12" s="17"/>
      <c r="D12" s="17"/>
      <c r="E12" s="55"/>
    </row>
    <row r="13" spans="1:5" x14ac:dyDescent="0.2">
      <c r="A13" s="37" t="s">
        <v>81</v>
      </c>
    </row>
    <row r="14" spans="1:5" x14ac:dyDescent="0.2">
      <c r="A14" s="16" t="s">
        <v>56</v>
      </c>
    </row>
    <row r="15" spans="1:5" x14ac:dyDescent="0.2">
      <c r="A15" s="38"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
  <sheetViews>
    <sheetView zoomScale="80" zoomScaleNormal="80" workbookViewId="0"/>
  </sheetViews>
  <sheetFormatPr defaultColWidth="9.140625" defaultRowHeight="12.75" x14ac:dyDescent="0.2"/>
  <cols>
    <col min="1" max="1" width="36.140625" style="2" customWidth="1"/>
    <col min="2" max="5" width="13.28515625" style="2" customWidth="1"/>
    <col min="6" max="6" width="9.140625" style="2"/>
    <col min="7" max="7" width="14.42578125" style="2" customWidth="1"/>
    <col min="8" max="8" width="9.7109375" style="2" bestFit="1" customWidth="1"/>
    <col min="9" max="9" width="1.5703125" style="2" customWidth="1"/>
    <col min="10" max="10" width="10" style="2" customWidth="1"/>
    <col min="11" max="16384" width="9.140625" style="2"/>
  </cols>
  <sheetData>
    <row r="1" spans="1:10" x14ac:dyDescent="0.2">
      <c r="A1" s="36" t="s">
        <v>58</v>
      </c>
      <c r="B1" s="15"/>
      <c r="C1" s="15"/>
      <c r="D1" s="15"/>
      <c r="E1" s="15"/>
      <c r="F1" s="15"/>
      <c r="G1" s="14"/>
      <c r="H1" s="14"/>
      <c r="I1" s="14"/>
      <c r="J1" s="14"/>
    </row>
    <row r="2" spans="1:10" s="30" customFormat="1" ht="38.25" x14ac:dyDescent="0.2">
      <c r="A2" s="25" t="s">
        <v>36</v>
      </c>
      <c r="B2" s="26" t="s">
        <v>47</v>
      </c>
      <c r="C2" s="26" t="s">
        <v>48</v>
      </c>
      <c r="D2" s="26" t="s">
        <v>49</v>
      </c>
      <c r="E2" s="26" t="s">
        <v>50</v>
      </c>
      <c r="F2" s="26" t="s">
        <v>51</v>
      </c>
      <c r="G2" s="27" t="s">
        <v>52</v>
      </c>
      <c r="H2" s="27" t="s">
        <v>53</v>
      </c>
      <c r="I2" s="28"/>
      <c r="J2" s="29" t="s">
        <v>54</v>
      </c>
    </row>
    <row r="3" spans="1:10" s="30" customFormat="1" x14ac:dyDescent="0.2">
      <c r="A3" s="31"/>
      <c r="B3" s="65" t="s">
        <v>33</v>
      </c>
      <c r="C3" s="66"/>
      <c r="D3" s="66"/>
      <c r="E3" s="66"/>
      <c r="F3" s="66"/>
      <c r="G3" s="66"/>
      <c r="H3" s="66"/>
      <c r="I3" s="10"/>
      <c r="J3" s="9" t="s">
        <v>46</v>
      </c>
    </row>
    <row r="4" spans="1:10" x14ac:dyDescent="0.2">
      <c r="A4" s="37" t="s">
        <v>79</v>
      </c>
      <c r="B4" s="17">
        <v>75129</v>
      </c>
      <c r="C4" s="17">
        <v>136078</v>
      </c>
      <c r="D4" s="17">
        <v>142447</v>
      </c>
      <c r="E4" s="17">
        <v>64038</v>
      </c>
      <c r="F4" s="17">
        <f>B4+C4+D4+E4</f>
        <v>417692</v>
      </c>
      <c r="G4" s="17">
        <v>417692</v>
      </c>
      <c r="H4" s="17">
        <f>F4-G4</f>
        <v>0</v>
      </c>
      <c r="I4" s="17"/>
      <c r="J4" s="32">
        <f>100*G4/F4</f>
        <v>100</v>
      </c>
    </row>
    <row r="5" spans="1:10" x14ac:dyDescent="0.2">
      <c r="A5" s="16" t="s">
        <v>43</v>
      </c>
      <c r="B5" s="17">
        <v>10300</v>
      </c>
      <c r="C5" s="17"/>
      <c r="D5" s="17">
        <v>25000</v>
      </c>
      <c r="E5" s="17"/>
      <c r="F5" s="17">
        <f>B5+C5+D5+E5</f>
        <v>35300</v>
      </c>
      <c r="G5" s="17">
        <v>31587</v>
      </c>
      <c r="H5" s="17">
        <f>F5-G5</f>
        <v>3713</v>
      </c>
      <c r="I5" s="17"/>
      <c r="J5" s="32">
        <f>100*G5/F5</f>
        <v>89.481586402266288</v>
      </c>
    </row>
    <row r="6" spans="1:10" x14ac:dyDescent="0.2">
      <c r="A6" s="37" t="s">
        <v>64</v>
      </c>
      <c r="B6" s="17">
        <v>253337</v>
      </c>
      <c r="C6" s="17"/>
      <c r="D6" s="17">
        <v>59349</v>
      </c>
      <c r="E6" s="17">
        <v>26681</v>
      </c>
      <c r="F6" s="17">
        <f>B6+C6+D6+E6</f>
        <v>339367</v>
      </c>
      <c r="G6" s="17">
        <v>190330</v>
      </c>
      <c r="H6" s="17">
        <f>F6-G6</f>
        <v>149037</v>
      </c>
      <c r="I6" s="17"/>
      <c r="J6" s="32">
        <f>100*G6/F6</f>
        <v>56.083826653740644</v>
      </c>
    </row>
    <row r="7" spans="1:10" x14ac:dyDescent="0.2">
      <c r="A7" s="37" t="s">
        <v>80</v>
      </c>
      <c r="B7" s="17">
        <v>28656</v>
      </c>
      <c r="C7" s="17"/>
      <c r="D7" s="17"/>
      <c r="E7" s="17">
        <v>9000</v>
      </c>
      <c r="F7" s="17">
        <f>B7+C7+D7+E7</f>
        <v>37656</v>
      </c>
      <c r="G7" s="17">
        <v>37656</v>
      </c>
      <c r="H7" s="17">
        <f>F7-G7</f>
        <v>0</v>
      </c>
      <c r="I7" s="17"/>
      <c r="J7" s="32">
        <f>100*G7/F7</f>
        <v>100</v>
      </c>
    </row>
    <row r="8" spans="1:10" x14ac:dyDescent="0.2">
      <c r="A8" s="36" t="s">
        <v>66</v>
      </c>
      <c r="B8" s="15">
        <f>SUM(B4:B7)</f>
        <v>367422</v>
      </c>
      <c r="C8" s="15">
        <f>SUM(C4:C7)</f>
        <v>136078</v>
      </c>
      <c r="D8" s="15">
        <f>SUM(D4:D7)</f>
        <v>226796</v>
      </c>
      <c r="E8" s="15">
        <f>SUM(E4:E7)</f>
        <v>99719</v>
      </c>
      <c r="F8" s="15">
        <f>B8+C8+D8+E8</f>
        <v>830015</v>
      </c>
      <c r="G8" s="15">
        <f>SUM(G4:G7)</f>
        <v>677265</v>
      </c>
      <c r="H8" s="15">
        <f>F8-G8</f>
        <v>152750</v>
      </c>
      <c r="I8" s="15"/>
      <c r="J8" s="33">
        <f>100*G8/F8</f>
        <v>81.596718131600028</v>
      </c>
    </row>
    <row r="9" spans="1:10" x14ac:dyDescent="0.2">
      <c r="A9" s="38" t="s">
        <v>70</v>
      </c>
      <c r="B9" s="17"/>
      <c r="C9" s="17"/>
      <c r="D9" s="17"/>
      <c r="E9" s="55"/>
    </row>
    <row r="10" spans="1:10" x14ac:dyDescent="0.2">
      <c r="A10" s="37" t="s">
        <v>81</v>
      </c>
    </row>
    <row r="11" spans="1:10" x14ac:dyDescent="0.2">
      <c r="A11" s="16" t="s">
        <v>55</v>
      </c>
    </row>
    <row r="12" spans="1:10" x14ac:dyDescent="0.2">
      <c r="A12" s="38" t="s">
        <v>65</v>
      </c>
    </row>
  </sheetData>
  <mergeCells count="1">
    <mergeCell ref="B3:H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21" ma:contentTypeDescription="Create a new document." ma:contentTypeScope="" ma:versionID="b73ccf800b91c230019bb8f09638abd6">
  <xsd:schema xmlns:xsd="http://www.w3.org/2001/XMLSchema" xmlns:xs="http://www.w3.org/2001/XMLSchema" xmlns:p="http://schemas.microsoft.com/office/2006/metadata/properties" xmlns:ns1="http://schemas.microsoft.com/sharepoint/v3" xmlns:ns2="df38bbad-0bb0-41a7-b78f-084b382b3af7" xmlns:ns3="e9322675-4e6c-4dcb-b08b-f40420b09916" xmlns:ns5="73fb875a-8af9-4255-b008-0995492d31cd" targetNamespace="http://schemas.microsoft.com/office/2006/metadata/properties" ma:root="true" ma:fieldsID="13a5557626a4f63aab3a2090ba60733f" ns1:_="" ns2:_="" ns3:_="" ns5:_="">
    <xsd:import namespace="http://schemas.microsoft.com/sharepoint/v3"/>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5:TaxCatchAll" minOccurs="0"/>
                <xsd:element ref="ns1: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4"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8b7d3-41cc-4c68-b84f-83e196d43ada}"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http://schemas.microsoft.com/sharepoint/v3" xsi:nil="true"/>
    <TaxCatchAll xmlns="73fb875a-8af9-4255-b008-0995492d31cd"/>
  </documentManagement>
</p:properties>
</file>

<file path=customXml/itemProps1.xml><?xml version="1.0" encoding="utf-8"?>
<ds:datastoreItem xmlns:ds="http://schemas.openxmlformats.org/officeDocument/2006/customXml" ds:itemID="{94B0AD24-36B4-42D0-8DE3-81D55D064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A389D0-05B6-4DB9-ABE4-37AFE7FBF635}">
  <ds:schemaRefs>
    <ds:schemaRef ds:uri="http://schemas.microsoft.com/sharepoint/v3/contenttype/forms"/>
  </ds:schemaRefs>
</ds:datastoreItem>
</file>

<file path=customXml/itemProps3.xml><?xml version="1.0" encoding="utf-8"?>
<ds:datastoreItem xmlns:ds="http://schemas.openxmlformats.org/officeDocument/2006/customXml" ds:itemID="{52D4D1E6-4F4C-45DA-90FD-DA958E6D6825}">
  <ds:schemaRefs>
    <ds:schemaRef ds:uri="http://schemas.microsoft.com/office/2006/metadata/properties"/>
    <ds:schemaRef ds:uri="http://schemas.microsoft.com/office/infopath/2007/PartnerControls"/>
    <ds:schemaRef ds:uri="http://schemas.microsoft.com/sharepoint/v3"/>
    <ds:schemaRef ds:uri="df38bbad-0bb0-41a7-b78f-084b382b3af7"/>
    <ds:schemaRef ds:uri="e9322675-4e6c-4dcb-b08b-f40420b09916"/>
    <ds:schemaRef ds:uri="http://schemas.microsoft.com/office/2006/documentManagement/types"/>
    <ds:schemaRef ds:uri="http://purl.org/dc/terms/"/>
    <ds:schemaRef ds:uri="73fb875a-8af9-4255-b008-0995492d31cd"/>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Table58a</vt:lpstr>
      <vt:lpstr>Table58b</vt:lpstr>
      <vt:lpstr>Table58c</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58–U.S. refined sugar tariff-rate quota World Trade Organization allocations and entries by month, since fiscal year 2006</dc:title>
  <dc:subject>Agricultural Economics</dc:subject>
  <dc:creator>Vidalina Abadam</dc:creator>
  <cp:keywords>sugar, imports, refined sugar TRQ, USDA, U.S. Department of Agriculture, ERS, Economic Research Service</cp:keywords>
  <cp:lastModifiedBy>Abadam, Vidalina - REE-ERS</cp:lastModifiedBy>
  <dcterms:created xsi:type="dcterms:W3CDTF">2008-05-29T19:20:01Z</dcterms:created>
  <dcterms:modified xsi:type="dcterms:W3CDTF">2024-05-16T17:33:30Z</dcterms:modified>
  <cp:category/>
</cp:coreProperties>
</file>